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56BBCC2-2010-4E1B-9769-C6F0E89EF731}" xr6:coauthVersionLast="47" xr6:coauthVersionMax="47" xr10:uidLastSave="{00000000-0000-0000-0000-000000000000}"/>
  <bookViews>
    <workbookView xWindow="-120" yWindow="-120" windowWidth="20730" windowHeight="11040" tabRatio="918" activeTab="5" xr2:uid="{00000000-000D-0000-FFFF-FFFF00000000}"/>
  </bookViews>
  <sheets>
    <sheet name="PETUNJUK" sheetId="2" r:id="rId1"/>
    <sheet name="TUGAS (1)" sheetId="4" r:id="rId2"/>
    <sheet name="LEMBAR KERJA (1)" sheetId="14" r:id="rId3"/>
    <sheet name="KUNCI JAWABAN (1)" sheetId="5" r:id="rId4"/>
    <sheet name="TUGAS (2)" sheetId="1" r:id="rId5"/>
    <sheet name="LEMBAR KERJA (2)" sheetId="15" r:id="rId6"/>
    <sheet name="KUNCI JAWABAN (2)" sheetId="3" r:id="rId7"/>
    <sheet name="TUGAS (3)" sheetId="12" r:id="rId8"/>
    <sheet name="LEMBAR KERJA (3)" sheetId="16" r:id="rId9"/>
    <sheet name="JAWABAN (3) rumus vlookup" sheetId="21" r:id="rId10"/>
    <sheet name="JAWABAN (3) rumus if" sheetId="20" r:id="rId11"/>
    <sheet name="TUGAS (4)" sheetId="10" r:id="rId12"/>
    <sheet name="LEMBAR KERJA (4)" sheetId="17" r:id="rId13"/>
    <sheet name="JAWABAN (4)" sheetId="11" r:id="rId14"/>
    <sheet name="TUGAS (5)" sheetId="8" r:id="rId15"/>
    <sheet name="LEMBAR KERJA (5)" sheetId="18" r:id="rId16"/>
    <sheet name="JAWABAN (5)" sheetId="9" r:id="rId17"/>
    <sheet name="TUGAS (6)" sheetId="6" r:id="rId18"/>
    <sheet name="LEMBAR KERJA (6)" sheetId="19" r:id="rId19"/>
    <sheet name="JAWABAN (6)" sheetId="7" r:id="rId20"/>
    <sheet name="TUGAS (7)" sheetId="22" r:id="rId21"/>
    <sheet name="LEMBAR KERJA (7)" sheetId="23" r:id="rId22"/>
    <sheet name="JAWABAN (7)" sheetId="24" r:id="rId23"/>
    <sheet name="TUGAS (8)" sheetId="25" r:id="rId24"/>
    <sheet name="LEMBAR KERJA (8)" sheetId="26" r:id="rId25"/>
    <sheet name="JAWABAN (8)" sheetId="27" r:id="rId26"/>
  </sheets>
  <externalReferences>
    <externalReference r:id="rId27"/>
  </externalReferences>
  <definedNames>
    <definedName name="bus">'TUGAS (3)'!$K$26:$M$28</definedName>
    <definedName name="gapok" localSheetId="19">[1]soall!$B$33:$C$37</definedName>
    <definedName name="gapok">'TUGAS (6)'!$B$33:$C$37</definedName>
    <definedName name="jabatan" localSheetId="19">[1]soall!$B$27:$C$31</definedName>
    <definedName name="jabatan">'TUGAS (6)'!$B$27:$C$31</definedName>
    <definedName name="jenis">#REF!</definedName>
    <definedName name="kdkd">'TUGAS (4)'!$A$19:$B$22</definedName>
    <definedName name="kelamin" localSheetId="19">[1]soall!$E$30:$G$31</definedName>
    <definedName name="kelamin">'TUGAS (6)'!$E$30:$G$31</definedName>
    <definedName name="kmr">'TUGAS (4)'!$E$19:$H$21</definedName>
    <definedName name="kode">'TUGAS (4)'!$A$20:$B$22</definedName>
    <definedName name="mb">'TUGAS (5)'!$K$7:$M$9</definedName>
    <definedName name="mbl">'TUGAS (3)'!$K$28:$M$30</definedName>
    <definedName name="status" localSheetId="19">[1]soall!$E$27:$G$28</definedName>
    <definedName name="status">'TUGAS (6)'!$E$27:$G$28</definedName>
    <definedName name="tarif">'TUGAS (4)'!$E$20:$H$21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5" l="1"/>
  <c r="G17" i="15"/>
  <c r="H17" i="15"/>
  <c r="I17" i="15"/>
  <c r="J17" i="15"/>
  <c r="E17" i="15"/>
  <c r="C21" i="15"/>
  <c r="C20" i="15"/>
  <c r="J8" i="15"/>
  <c r="J9" i="15"/>
  <c r="J10" i="15"/>
  <c r="J11" i="15"/>
  <c r="J12" i="15"/>
  <c r="J13" i="15"/>
  <c r="J14" i="15"/>
  <c r="J15" i="15"/>
  <c r="J16" i="15"/>
  <c r="J7" i="15"/>
  <c r="I8" i="15"/>
  <c r="I9" i="15"/>
  <c r="I10" i="15"/>
  <c r="I11" i="15"/>
  <c r="I12" i="15"/>
  <c r="I13" i="15"/>
  <c r="I14" i="15"/>
  <c r="I15" i="15"/>
  <c r="I16" i="15"/>
  <c r="I7" i="15"/>
  <c r="G8" i="15"/>
  <c r="G9" i="15"/>
  <c r="G10" i="15"/>
  <c r="G11" i="15"/>
  <c r="G12" i="15"/>
  <c r="G13" i="15"/>
  <c r="G14" i="15"/>
  <c r="G15" i="15"/>
  <c r="G16" i="15"/>
  <c r="G7" i="15"/>
  <c r="F8" i="15"/>
  <c r="F9" i="15"/>
  <c r="F10" i="15"/>
  <c r="F11" i="15"/>
  <c r="F12" i="15"/>
  <c r="F13" i="15"/>
  <c r="F14" i="15"/>
  <c r="F15" i="15"/>
  <c r="F16" i="15"/>
  <c r="F7" i="15"/>
  <c r="E8" i="15"/>
  <c r="E9" i="15"/>
  <c r="E10" i="15"/>
  <c r="E11" i="15"/>
  <c r="E12" i="15"/>
  <c r="E13" i="15"/>
  <c r="E14" i="15"/>
  <c r="E15" i="15"/>
  <c r="E16" i="15"/>
  <c r="E7" i="15"/>
  <c r="G22" i="14"/>
  <c r="G23" i="14"/>
  <c r="G21" i="14"/>
  <c r="G19" i="14"/>
  <c r="G18" i="14"/>
  <c r="G12" i="14"/>
  <c r="G13" i="14"/>
  <c r="G14" i="14"/>
  <c r="H11" i="14" s="1"/>
  <c r="G15" i="14"/>
  <c r="G16" i="14"/>
  <c r="G11" i="14"/>
  <c r="G6" i="14"/>
  <c r="G7" i="14"/>
  <c r="G8" i="14"/>
  <c r="H5" i="14" s="1"/>
  <c r="G9" i="14"/>
  <c r="G5" i="14"/>
  <c r="H21" i="14"/>
  <c r="H10" i="4"/>
  <c r="E12" i="24"/>
  <c r="M22" i="27"/>
  <c r="L22" i="27"/>
  <c r="K24" i="27"/>
  <c r="H23" i="27"/>
  <c r="M23" i="27" s="1"/>
  <c r="H24" i="27"/>
  <c r="M24" i="27" s="1"/>
  <c r="H25" i="27"/>
  <c r="M25" i="27" s="1"/>
  <c r="H26" i="27"/>
  <c r="M26" i="27" s="1"/>
  <c r="H27" i="27"/>
  <c r="M27" i="27" s="1"/>
  <c r="H28" i="27"/>
  <c r="M28" i="27" s="1"/>
  <c r="H29" i="27"/>
  <c r="M29" i="27" s="1"/>
  <c r="H30" i="27"/>
  <c r="M30" i="27" s="1"/>
  <c r="H31" i="27"/>
  <c r="M31" i="27" s="1"/>
  <c r="H32" i="27"/>
  <c r="M32" i="27" s="1"/>
  <c r="H33" i="27"/>
  <c r="M33" i="27" s="1"/>
  <c r="H22" i="27"/>
  <c r="K25" i="27"/>
  <c r="K26" i="27"/>
  <c r="K30" i="27"/>
  <c r="K31" i="27"/>
  <c r="K33" i="27"/>
  <c r="J23" i="27"/>
  <c r="K23" i="27" s="1"/>
  <c r="J24" i="27"/>
  <c r="L24" i="27" s="1"/>
  <c r="J25" i="27"/>
  <c r="L25" i="27" s="1"/>
  <c r="J26" i="27"/>
  <c r="L26" i="27" s="1"/>
  <c r="J27" i="27"/>
  <c r="L27" i="27" s="1"/>
  <c r="J28" i="27"/>
  <c r="L28" i="27" s="1"/>
  <c r="J29" i="27"/>
  <c r="L29" i="27" s="1"/>
  <c r="J30" i="27"/>
  <c r="J31" i="27"/>
  <c r="L31" i="27" s="1"/>
  <c r="J32" i="27"/>
  <c r="L32" i="27" s="1"/>
  <c r="J33" i="27"/>
  <c r="L33" i="27" s="1"/>
  <c r="J22" i="27"/>
  <c r="G22" i="27"/>
  <c r="I22" i="27" s="1"/>
  <c r="G23" i="27"/>
  <c r="I23" i="27" s="1"/>
  <c r="G24" i="27"/>
  <c r="I24" i="27" s="1"/>
  <c r="G25" i="27"/>
  <c r="I25" i="27" s="1"/>
  <c r="G26" i="27"/>
  <c r="I26" i="27" s="1"/>
  <c r="G27" i="27"/>
  <c r="I27" i="27" s="1"/>
  <c r="G28" i="27"/>
  <c r="I28" i="27" s="1"/>
  <c r="G29" i="27"/>
  <c r="I29" i="27" s="1"/>
  <c r="G30" i="27"/>
  <c r="I30" i="27" s="1"/>
  <c r="G31" i="27"/>
  <c r="I31" i="27" s="1"/>
  <c r="G32" i="27"/>
  <c r="I32" i="27" s="1"/>
  <c r="G33" i="27"/>
  <c r="I33" i="27" s="1"/>
  <c r="G41" i="24"/>
  <c r="J41" i="24" s="1"/>
  <c r="K41" i="24" s="1"/>
  <c r="F41" i="24"/>
  <c r="H41" i="24" s="1"/>
  <c r="E41" i="24"/>
  <c r="G40" i="24"/>
  <c r="F40" i="24"/>
  <c r="H40" i="24" s="1"/>
  <c r="E40" i="24"/>
  <c r="G39" i="24"/>
  <c r="F39" i="24"/>
  <c r="J39" i="24" s="1"/>
  <c r="K39" i="24" s="1"/>
  <c r="E39" i="24"/>
  <c r="H38" i="24"/>
  <c r="G38" i="24"/>
  <c r="F38" i="24"/>
  <c r="E38" i="24"/>
  <c r="H37" i="24"/>
  <c r="G37" i="24"/>
  <c r="F37" i="24"/>
  <c r="E37" i="24"/>
  <c r="G36" i="24"/>
  <c r="F36" i="24"/>
  <c r="E36" i="24"/>
  <c r="G35" i="24"/>
  <c r="F35" i="24"/>
  <c r="J35" i="24" s="1"/>
  <c r="K35" i="24" s="1"/>
  <c r="E35" i="24"/>
  <c r="G34" i="24"/>
  <c r="F34" i="24"/>
  <c r="E34" i="24"/>
  <c r="G33" i="24"/>
  <c r="F33" i="24"/>
  <c r="H33" i="24" s="1"/>
  <c r="E33" i="24"/>
  <c r="G32" i="24"/>
  <c r="F32" i="24"/>
  <c r="H32" i="24" s="1"/>
  <c r="E32" i="24"/>
  <c r="G31" i="24"/>
  <c r="F31" i="24"/>
  <c r="J31" i="24" s="1"/>
  <c r="K31" i="24" s="1"/>
  <c r="E31" i="24"/>
  <c r="H30" i="24"/>
  <c r="G30" i="24"/>
  <c r="F30" i="24"/>
  <c r="E30" i="24"/>
  <c r="H29" i="24"/>
  <c r="G29" i="24"/>
  <c r="F29" i="24"/>
  <c r="E29" i="24"/>
  <c r="G28" i="24"/>
  <c r="F28" i="24"/>
  <c r="E28" i="24"/>
  <c r="G27" i="24"/>
  <c r="F27" i="24"/>
  <c r="J27" i="24" s="1"/>
  <c r="K27" i="24" s="1"/>
  <c r="E27" i="24"/>
  <c r="G26" i="24"/>
  <c r="F26" i="24"/>
  <c r="E26" i="24"/>
  <c r="G25" i="24"/>
  <c r="F25" i="24"/>
  <c r="H25" i="24" s="1"/>
  <c r="E25" i="24"/>
  <c r="G24" i="24"/>
  <c r="F24" i="24"/>
  <c r="H24" i="24" s="1"/>
  <c r="E24" i="24"/>
  <c r="G23" i="24"/>
  <c r="F23" i="24"/>
  <c r="J23" i="24" s="1"/>
  <c r="K23" i="24" s="1"/>
  <c r="E23" i="24"/>
  <c r="H22" i="24"/>
  <c r="G22" i="24"/>
  <c r="F22" i="24"/>
  <c r="E22" i="24"/>
  <c r="H21" i="24"/>
  <c r="G21" i="24"/>
  <c r="F21" i="24"/>
  <c r="E21" i="24"/>
  <c r="G20" i="24"/>
  <c r="F20" i="24"/>
  <c r="E20" i="24"/>
  <c r="G19" i="24"/>
  <c r="F19" i="24"/>
  <c r="J19" i="24" s="1"/>
  <c r="K19" i="24" s="1"/>
  <c r="E19" i="24"/>
  <c r="G18" i="24"/>
  <c r="F18" i="24"/>
  <c r="E18" i="24"/>
  <c r="G17" i="24"/>
  <c r="F17" i="24"/>
  <c r="H17" i="24" s="1"/>
  <c r="E17" i="24"/>
  <c r="G16" i="24"/>
  <c r="F16" i="24"/>
  <c r="H16" i="24" s="1"/>
  <c r="E16" i="24"/>
  <c r="G15" i="24"/>
  <c r="F15" i="24"/>
  <c r="J15" i="24" s="1"/>
  <c r="K15" i="24" s="1"/>
  <c r="E15" i="24"/>
  <c r="H14" i="24"/>
  <c r="L14" i="24" s="1"/>
  <c r="G14" i="24"/>
  <c r="F14" i="24"/>
  <c r="J14" i="24" s="1"/>
  <c r="K14" i="24" s="1"/>
  <c r="E14" i="24"/>
  <c r="H13" i="24"/>
  <c r="I13" i="24" s="1"/>
  <c r="G13" i="24"/>
  <c r="F13" i="24"/>
  <c r="E13" i="24"/>
  <c r="G12" i="24"/>
  <c r="F12" i="24"/>
  <c r="H34" i="21"/>
  <c r="F34" i="21"/>
  <c r="G34" i="21" s="1"/>
  <c r="I34" i="21" s="1"/>
  <c r="E34" i="21"/>
  <c r="H33" i="21"/>
  <c r="F33" i="21"/>
  <c r="G33" i="21" s="1"/>
  <c r="E33" i="21"/>
  <c r="F32" i="21"/>
  <c r="G32" i="21" s="1"/>
  <c r="E32" i="21"/>
  <c r="F31" i="21"/>
  <c r="G31" i="21" s="1"/>
  <c r="E31" i="21"/>
  <c r="H30" i="21"/>
  <c r="F30" i="21"/>
  <c r="G30" i="21" s="1"/>
  <c r="I30" i="21" s="1"/>
  <c r="E30" i="21"/>
  <c r="F29" i="21"/>
  <c r="F35" i="21" s="1"/>
  <c r="E29" i="21"/>
  <c r="H34" i="20"/>
  <c r="E34" i="20"/>
  <c r="F34" i="20" s="1"/>
  <c r="G34" i="20" s="1"/>
  <c r="H33" i="20"/>
  <c r="E33" i="20"/>
  <c r="F33" i="20" s="1"/>
  <c r="G33" i="20" s="1"/>
  <c r="E32" i="20"/>
  <c r="F32" i="20" s="1"/>
  <c r="G32" i="20" s="1"/>
  <c r="E31" i="20"/>
  <c r="F31" i="20" s="1"/>
  <c r="G31" i="20" s="1"/>
  <c r="H30" i="20"/>
  <c r="E30" i="20"/>
  <c r="F30" i="20" s="1"/>
  <c r="G30" i="20" s="1"/>
  <c r="E29" i="20"/>
  <c r="F29" i="20" s="1"/>
  <c r="F11" i="11"/>
  <c r="G11" i="11" s="1"/>
  <c r="D11" i="11"/>
  <c r="F10" i="11"/>
  <c r="G10" i="11" s="1"/>
  <c r="D10" i="11"/>
  <c r="F9" i="11"/>
  <c r="G9" i="11" s="1"/>
  <c r="D9" i="11"/>
  <c r="F8" i="11"/>
  <c r="G8" i="11" s="1"/>
  <c r="D8" i="11"/>
  <c r="H7" i="11"/>
  <c r="F7" i="11"/>
  <c r="G7" i="11" s="1"/>
  <c r="D7" i="11"/>
  <c r="F32" i="9"/>
  <c r="G32" i="9" s="1"/>
  <c r="D32" i="9"/>
  <c r="H31" i="9"/>
  <c r="F31" i="9"/>
  <c r="G31" i="9" s="1"/>
  <c r="D31" i="9"/>
  <c r="F30" i="9"/>
  <c r="G30" i="9" s="1"/>
  <c r="D30" i="9"/>
  <c r="H29" i="9"/>
  <c r="F29" i="9"/>
  <c r="G29" i="9" s="1"/>
  <c r="I29" i="9" s="1"/>
  <c r="D29" i="9"/>
  <c r="F28" i="9"/>
  <c r="G28" i="9" s="1"/>
  <c r="D28" i="9"/>
  <c r="F11" i="9"/>
  <c r="G11" i="9" s="1"/>
  <c r="H10" i="9"/>
  <c r="F10" i="9"/>
  <c r="G10" i="9" s="1"/>
  <c r="F9" i="9"/>
  <c r="G9" i="9" s="1"/>
  <c r="H8" i="9"/>
  <c r="F8" i="9"/>
  <c r="G8" i="9" s="1"/>
  <c r="F7" i="9"/>
  <c r="G7" i="9" s="1"/>
  <c r="H7" i="9" s="1"/>
  <c r="H18" i="14" l="1"/>
  <c r="H24" i="14"/>
  <c r="K32" i="27"/>
  <c r="N32" i="27" s="1"/>
  <c r="I30" i="20"/>
  <c r="I33" i="20"/>
  <c r="J12" i="24"/>
  <c r="K12" i="24" s="1"/>
  <c r="J13" i="24"/>
  <c r="K13" i="24" s="1"/>
  <c r="J16" i="24"/>
  <c r="K16" i="24" s="1"/>
  <c r="J17" i="24"/>
  <c r="K17" i="24" s="1"/>
  <c r="J20" i="24"/>
  <c r="K20" i="24" s="1"/>
  <c r="J21" i="24"/>
  <c r="K21" i="24" s="1"/>
  <c r="J22" i="24"/>
  <c r="K22" i="24" s="1"/>
  <c r="J24" i="24"/>
  <c r="K24" i="24" s="1"/>
  <c r="J25" i="24"/>
  <c r="K25" i="24" s="1"/>
  <c r="J28" i="24"/>
  <c r="K28" i="24" s="1"/>
  <c r="J29" i="24"/>
  <c r="K29" i="24" s="1"/>
  <c r="J30" i="24"/>
  <c r="K30" i="24" s="1"/>
  <c r="J32" i="24"/>
  <c r="K32" i="24" s="1"/>
  <c r="J33" i="24"/>
  <c r="K33" i="24" s="1"/>
  <c r="J36" i="24"/>
  <c r="K36" i="24" s="1"/>
  <c r="J37" i="24"/>
  <c r="K37" i="24" s="1"/>
  <c r="J38" i="24"/>
  <c r="K38" i="24" s="1"/>
  <c r="J40" i="24"/>
  <c r="K40" i="24" s="1"/>
  <c r="I34" i="20"/>
  <c r="I33" i="21"/>
  <c r="J18" i="24"/>
  <c r="K18" i="24" s="1"/>
  <c r="J26" i="24"/>
  <c r="K26" i="24" s="1"/>
  <c r="J34" i="24"/>
  <c r="K34" i="24" s="1"/>
  <c r="L23" i="27"/>
  <c r="G5" i="27"/>
  <c r="N23" i="27"/>
  <c r="J34" i="27"/>
  <c r="G3" i="27" s="1"/>
  <c r="N26" i="27"/>
  <c r="K29" i="27"/>
  <c r="N29" i="27" s="1"/>
  <c r="N24" i="27"/>
  <c r="L34" i="27"/>
  <c r="M34" i="27"/>
  <c r="N31" i="27"/>
  <c r="K28" i="27"/>
  <c r="N28" i="27" s="1"/>
  <c r="K27" i="27"/>
  <c r="N27" i="27" s="1"/>
  <c r="L30" i="27"/>
  <c r="N30" i="27" s="1"/>
  <c r="K22" i="27"/>
  <c r="N33" i="27"/>
  <c r="N25" i="27"/>
  <c r="L37" i="24"/>
  <c r="L33" i="24"/>
  <c r="I33" i="24"/>
  <c r="M33" i="24" s="1"/>
  <c r="L29" i="24"/>
  <c r="L38" i="24"/>
  <c r="I16" i="24"/>
  <c r="M16" i="24" s="1"/>
  <c r="L16" i="24"/>
  <c r="N16" i="24" s="1"/>
  <c r="L25" i="24"/>
  <c r="I25" i="24"/>
  <c r="M25" i="24" s="1"/>
  <c r="L21" i="24"/>
  <c r="L30" i="24"/>
  <c r="N30" i="24" s="1"/>
  <c r="L40" i="24"/>
  <c r="I40" i="24"/>
  <c r="M40" i="24" s="1"/>
  <c r="M13" i="24"/>
  <c r="L22" i="24"/>
  <c r="I24" i="24"/>
  <c r="M24" i="24" s="1"/>
  <c r="L24" i="24"/>
  <c r="I32" i="24"/>
  <c r="M32" i="24" s="1"/>
  <c r="L32" i="24"/>
  <c r="N32" i="24" s="1"/>
  <c r="L41" i="24"/>
  <c r="I41" i="24"/>
  <c r="M41" i="24" s="1"/>
  <c r="L17" i="24"/>
  <c r="I17" i="24"/>
  <c r="M17" i="24" s="1"/>
  <c r="I29" i="24"/>
  <c r="M29" i="24" s="1"/>
  <c r="I37" i="24"/>
  <c r="M37" i="24" s="1"/>
  <c r="I21" i="24"/>
  <c r="M21" i="24" s="1"/>
  <c r="H18" i="24"/>
  <c r="H26" i="24"/>
  <c r="H34" i="24"/>
  <c r="L13" i="24"/>
  <c r="N13" i="24" s="1"/>
  <c r="H15" i="24"/>
  <c r="H23" i="24"/>
  <c r="H31" i="24"/>
  <c r="H39" i="24"/>
  <c r="H12" i="24"/>
  <c r="H20" i="24"/>
  <c r="H28" i="24"/>
  <c r="H36" i="24"/>
  <c r="I22" i="24"/>
  <c r="M22" i="24" s="1"/>
  <c r="I30" i="24"/>
  <c r="M30" i="24" s="1"/>
  <c r="I38" i="24"/>
  <c r="M38" i="24" s="1"/>
  <c r="I14" i="24"/>
  <c r="M14" i="24" s="1"/>
  <c r="N14" i="24" s="1"/>
  <c r="H19" i="24"/>
  <c r="H27" i="24"/>
  <c r="H35" i="24"/>
  <c r="H31" i="21"/>
  <c r="I31" i="21" s="1"/>
  <c r="H32" i="21"/>
  <c r="I32" i="21" s="1"/>
  <c r="G29" i="21"/>
  <c r="H31" i="20"/>
  <c r="I31" i="20" s="1"/>
  <c r="F35" i="20"/>
  <c r="G29" i="20"/>
  <c r="H32" i="20"/>
  <c r="I32" i="20" s="1"/>
  <c r="H28" i="9"/>
  <c r="I28" i="9" s="1"/>
  <c r="I7" i="9"/>
  <c r="I10" i="9"/>
  <c r="I8" i="9"/>
  <c r="H10" i="11"/>
  <c r="I10" i="11" s="1"/>
  <c r="H8" i="11"/>
  <c r="I8" i="11" s="1"/>
  <c r="I7" i="11"/>
  <c r="I31" i="9"/>
  <c r="H9" i="11"/>
  <c r="I9" i="11" s="1"/>
  <c r="H11" i="11"/>
  <c r="I11" i="11" s="1"/>
  <c r="H9" i="9"/>
  <c r="I9" i="9" s="1"/>
  <c r="H11" i="9"/>
  <c r="I11" i="9" s="1"/>
  <c r="H32" i="9"/>
  <c r="I32" i="9" s="1"/>
  <c r="H30" i="9"/>
  <c r="I30" i="9" s="1"/>
  <c r="N22" i="24" l="1"/>
  <c r="N21" i="24"/>
  <c r="N22" i="27"/>
  <c r="N34" i="27" s="1"/>
  <c r="N24" i="24"/>
  <c r="K34" i="27"/>
  <c r="G4" i="27" s="1"/>
  <c r="G7" i="27"/>
  <c r="G6" i="27"/>
  <c r="I35" i="24"/>
  <c r="M35" i="24" s="1"/>
  <c r="L35" i="24"/>
  <c r="N35" i="24" s="1"/>
  <c r="I19" i="24"/>
  <c r="M19" i="24" s="1"/>
  <c r="L19" i="24"/>
  <c r="N25" i="24"/>
  <c r="L26" i="24"/>
  <c r="I26" i="24"/>
  <c r="M26" i="24" s="1"/>
  <c r="L34" i="24"/>
  <c r="I34" i="24"/>
  <c r="M34" i="24" s="1"/>
  <c r="L36" i="24"/>
  <c r="I36" i="24"/>
  <c r="M36" i="24" s="1"/>
  <c r="N17" i="24"/>
  <c r="L12" i="24"/>
  <c r="I12" i="24"/>
  <c r="M12" i="24" s="1"/>
  <c r="N40" i="24"/>
  <c r="L28" i="24"/>
  <c r="I28" i="24"/>
  <c r="M28" i="24" s="1"/>
  <c r="N41" i="24"/>
  <c r="L39" i="24"/>
  <c r="I39" i="24"/>
  <c r="M39" i="24" s="1"/>
  <c r="N33" i="24"/>
  <c r="I27" i="24"/>
  <c r="M27" i="24" s="1"/>
  <c r="L27" i="24"/>
  <c r="L20" i="24"/>
  <c r="I20" i="24"/>
  <c r="M20" i="24" s="1"/>
  <c r="L31" i="24"/>
  <c r="I31" i="24"/>
  <c r="M31" i="24" s="1"/>
  <c r="N37" i="24"/>
  <c r="L15" i="24"/>
  <c r="I15" i="24"/>
  <c r="M15" i="24" s="1"/>
  <c r="L18" i="24"/>
  <c r="I18" i="24"/>
  <c r="M18" i="24" s="1"/>
  <c r="N38" i="24"/>
  <c r="N29" i="24"/>
  <c r="L23" i="24"/>
  <c r="I23" i="24"/>
  <c r="M23" i="24" s="1"/>
  <c r="G35" i="21"/>
  <c r="H29" i="21"/>
  <c r="H35" i="21" s="1"/>
  <c r="G35" i="20"/>
  <c r="H29" i="20"/>
  <c r="H35" i="20" s="1"/>
  <c r="I15" i="11"/>
  <c r="I14" i="11"/>
  <c r="I13" i="11"/>
  <c r="I36" i="9"/>
  <c r="I12" i="11"/>
  <c r="I15" i="9"/>
  <c r="I13" i="9"/>
  <c r="I12" i="9"/>
  <c r="I14" i="9"/>
  <c r="I35" i="9"/>
  <c r="I34" i="9"/>
  <c r="I33" i="9"/>
  <c r="N28" i="24" l="1"/>
  <c r="N19" i="24"/>
  <c r="N27" i="24"/>
  <c r="N18" i="24"/>
  <c r="N12" i="24"/>
  <c r="N31" i="24"/>
  <c r="N20" i="24"/>
  <c r="N26" i="24"/>
  <c r="N39" i="24"/>
  <c r="N15" i="24"/>
  <c r="N36" i="24"/>
  <c r="N34" i="24"/>
  <c r="N23" i="24"/>
  <c r="I29" i="21"/>
  <c r="I35" i="21" s="1"/>
  <c r="I29" i="20"/>
  <c r="I35" i="20" s="1"/>
  <c r="I17" i="7"/>
  <c r="F17" i="7"/>
  <c r="H17" i="7" s="1"/>
  <c r="E17" i="7"/>
  <c r="D17" i="7"/>
  <c r="I16" i="7"/>
  <c r="F16" i="7"/>
  <c r="H16" i="7" s="1"/>
  <c r="E16" i="7"/>
  <c r="D16" i="7"/>
  <c r="I15" i="7"/>
  <c r="F15" i="7"/>
  <c r="H15" i="7" s="1"/>
  <c r="E15" i="7"/>
  <c r="D15" i="7"/>
  <c r="I14" i="7"/>
  <c r="F14" i="7"/>
  <c r="H14" i="7" s="1"/>
  <c r="E14" i="7"/>
  <c r="D14" i="7"/>
  <c r="I13" i="7"/>
  <c r="F13" i="7"/>
  <c r="H13" i="7" s="1"/>
  <c r="E13" i="7"/>
  <c r="D13" i="7"/>
  <c r="I12" i="7"/>
  <c r="F12" i="7"/>
  <c r="H12" i="7" s="1"/>
  <c r="E12" i="7"/>
  <c r="D12" i="7"/>
  <c r="I11" i="7"/>
  <c r="F11" i="7"/>
  <c r="H11" i="7" s="1"/>
  <c r="E11" i="7"/>
  <c r="D11" i="7"/>
  <c r="I10" i="7"/>
  <c r="F10" i="7"/>
  <c r="H10" i="7" s="1"/>
  <c r="E10" i="7"/>
  <c r="D10" i="7"/>
  <c r="I9" i="7"/>
  <c r="F9" i="7"/>
  <c r="H9" i="7" s="1"/>
  <c r="E9" i="7"/>
  <c r="D9" i="7"/>
  <c r="I8" i="7"/>
  <c r="F8" i="7"/>
  <c r="H8" i="7" s="1"/>
  <c r="E8" i="7"/>
  <c r="D8" i="7"/>
  <c r="I7" i="7"/>
  <c r="F7" i="7"/>
  <c r="H7" i="7" s="1"/>
  <c r="E7" i="7"/>
  <c r="D7" i="7"/>
  <c r="I6" i="7"/>
  <c r="F6" i="7"/>
  <c r="H6" i="7" s="1"/>
  <c r="E6" i="7"/>
  <c r="D6" i="7"/>
  <c r="I5" i="7"/>
  <c r="F5" i="7"/>
  <c r="H5" i="7" s="1"/>
  <c r="E5" i="7"/>
  <c r="D5" i="7"/>
  <c r="I4" i="7"/>
  <c r="F4" i="7"/>
  <c r="H4" i="7" s="1"/>
  <c r="E4" i="7"/>
  <c r="D4" i="7"/>
  <c r="K12" i="7" l="1"/>
  <c r="J12" i="7"/>
  <c r="K10" i="7"/>
  <c r="J10" i="7"/>
  <c r="L10" i="7" s="1"/>
  <c r="K16" i="7"/>
  <c r="J16" i="7"/>
  <c r="K14" i="7"/>
  <c r="J14" i="7"/>
  <c r="L14" i="7" s="1"/>
  <c r="K4" i="7"/>
  <c r="J4" i="7"/>
  <c r="K8" i="7"/>
  <c r="J8" i="7"/>
  <c r="L8" i="7" s="1"/>
  <c r="K7" i="7"/>
  <c r="J7" i="7"/>
  <c r="K13" i="7"/>
  <c r="J13" i="7"/>
  <c r="K17" i="7"/>
  <c r="J17" i="7"/>
  <c r="K6" i="7"/>
  <c r="J6" i="7"/>
  <c r="L6" i="7" s="1"/>
  <c r="K5" i="7"/>
  <c r="J5" i="7"/>
  <c r="K9" i="7"/>
  <c r="J9" i="7"/>
  <c r="K11" i="7"/>
  <c r="J11" i="7"/>
  <c r="K15" i="7"/>
  <c r="J15" i="7"/>
  <c r="L7" i="7" l="1"/>
  <c r="L4" i="7"/>
  <c r="L9" i="7"/>
  <c r="L15" i="7"/>
  <c r="L11" i="7"/>
  <c r="L12" i="7"/>
  <c r="L16" i="7"/>
  <c r="L17" i="7"/>
  <c r="L5" i="7"/>
  <c r="L22" i="7" s="1"/>
  <c r="L13" i="7"/>
  <c r="L18" i="7" l="1"/>
  <c r="L21" i="7"/>
  <c r="L19" i="7"/>
  <c r="L20" i="7"/>
  <c r="G28" i="5"/>
  <c r="G27" i="5"/>
  <c r="G26" i="5"/>
  <c r="G24" i="5"/>
  <c r="G23" i="5"/>
  <c r="G21" i="5"/>
  <c r="G20" i="5"/>
  <c r="G19" i="5"/>
  <c r="G18" i="5"/>
  <c r="G17" i="5"/>
  <c r="G16" i="5"/>
  <c r="G14" i="5"/>
  <c r="G13" i="5"/>
  <c r="G12" i="5"/>
  <c r="G11" i="5"/>
  <c r="G10" i="5"/>
  <c r="H26" i="4"/>
  <c r="H23" i="4"/>
  <c r="H16" i="4"/>
  <c r="H29" i="4" l="1"/>
  <c r="H16" i="5"/>
  <c r="H26" i="5"/>
  <c r="H10" i="5"/>
  <c r="H23" i="5"/>
  <c r="C21" i="3"/>
  <c r="H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I12" i="3" s="1"/>
  <c r="J12" i="3" s="1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I7" i="3" s="1"/>
  <c r="I10" i="3" l="1"/>
  <c r="J10" i="3" s="1"/>
  <c r="I11" i="3"/>
  <c r="J11" i="3" s="1"/>
  <c r="I14" i="3"/>
  <c r="J14" i="3" s="1"/>
  <c r="H29" i="5"/>
  <c r="I8" i="3"/>
  <c r="J8" i="3" s="1"/>
  <c r="I9" i="3"/>
  <c r="J9" i="3" s="1"/>
  <c r="I16" i="3"/>
  <c r="J16" i="3" s="1"/>
  <c r="F17" i="3"/>
  <c r="I15" i="3"/>
  <c r="J15" i="3" s="1"/>
  <c r="G17" i="3"/>
  <c r="I13" i="3"/>
  <c r="J13" i="3" s="1"/>
  <c r="J7" i="3"/>
  <c r="E17" i="3"/>
  <c r="I17" i="3" l="1"/>
  <c r="J17" i="3"/>
  <c r="C20" i="3"/>
</calcChain>
</file>

<file path=xl/sharedStrings.xml><?xml version="1.0" encoding="utf-8"?>
<sst xmlns="http://schemas.openxmlformats.org/spreadsheetml/2006/main" count="1260" uniqueCount="474">
  <si>
    <t>DAFTAR GAJI KARYAWAN</t>
  </si>
  <si>
    <t>PT. INDONESIA JAYA</t>
  </si>
  <si>
    <t>Jl. Pasir Gintung, Jayanti, Tangerang 15410</t>
  </si>
  <si>
    <t>GAJI POKOK</t>
  </si>
  <si>
    <t>TUNJANGAN</t>
  </si>
  <si>
    <t>KESEHATAN (7%)</t>
  </si>
  <si>
    <t>PERUMAHAN (20%)</t>
  </si>
  <si>
    <t>TRANSPORTASI</t>
  </si>
  <si>
    <t>TAGIHAN</t>
  </si>
  <si>
    <t>GAJI KOTOR</t>
  </si>
  <si>
    <t>GAJI BERSIH</t>
  </si>
  <si>
    <t>NO.</t>
  </si>
  <si>
    <t>NAMA KARYAWAN</t>
  </si>
  <si>
    <t>JUMLAH HADIR</t>
  </si>
  <si>
    <t>SLAMET</t>
  </si>
  <si>
    <t>BEJO</t>
  </si>
  <si>
    <t>PAINO</t>
  </si>
  <si>
    <t>BARMAN</t>
  </si>
  <si>
    <t>GIMAN</t>
  </si>
  <si>
    <t>SIMIN</t>
  </si>
  <si>
    <t>PAIMIN</t>
  </si>
  <si>
    <t>TARNO</t>
  </si>
  <si>
    <t>MANTO</t>
  </si>
  <si>
    <t>MUKIDI</t>
  </si>
  <si>
    <t>Rekapitulasi</t>
  </si>
  <si>
    <t>Jumlah Gaji Bersih lebih dari 3 Juta</t>
  </si>
  <si>
    <t>Jumlah Karyawan yang memiliki gaji pokok 4 juta</t>
  </si>
  <si>
    <t>JUMLAH</t>
  </si>
  <si>
    <t>PETUNJUK TES KOMPUTER MS. EXCEL PERANGKAT DESA</t>
  </si>
  <si>
    <t>Salam hangat,</t>
  </si>
  <si>
    <t>Wiji Hatmoko</t>
  </si>
  <si>
    <t>4. Kirimkan / Upload kembali ke website ciptacendekia.com hasil pekerjaan Anda untuk kami nilai sebagai nilai kursus Anda</t>
  </si>
  <si>
    <t>REALISASI ANGGARAN BIAYA OPERASIONAL PENDAMPING</t>
  </si>
  <si>
    <t>UNIT PELAKSANAAN PROGRAM KELUARGA HARAPAN (UPPKH)</t>
  </si>
  <si>
    <t>DESA GEPARANG, KECAMATAN PURWODADI, KABUPATEN PURWOREJO</t>
  </si>
  <si>
    <t>(Bulan November 2017)</t>
  </si>
  <si>
    <t>NO</t>
  </si>
  <si>
    <t>TANGGAL</t>
  </si>
  <si>
    <t>URAIAN PEMBELANJAAN</t>
  </si>
  <si>
    <t>PERINCIAN BARANG</t>
  </si>
  <si>
    <t>HARGA BARANG (Rp)</t>
  </si>
  <si>
    <t>JUMLAH (Rp)</t>
  </si>
  <si>
    <t>JUMLAH TOTAL (Rp)</t>
  </si>
  <si>
    <t>VOL</t>
  </si>
  <si>
    <t>SATUAN</t>
  </si>
  <si>
    <t>I</t>
  </si>
  <si>
    <t>BELANJA ALAT TULIS KANTOR</t>
  </si>
  <si>
    <t>Ketas HVS-F4 70 gram</t>
  </si>
  <si>
    <t>rim</t>
  </si>
  <si>
    <t>Alat tulis/Balpoint</t>
  </si>
  <si>
    <t xml:space="preserve">set </t>
  </si>
  <si>
    <t>Map Plastik</t>
  </si>
  <si>
    <t>buah</t>
  </si>
  <si>
    <t>Binder Clips</t>
  </si>
  <si>
    <t>dosin</t>
  </si>
  <si>
    <t>kertas HVS-A4 70 gram</t>
  </si>
  <si>
    <t>II</t>
  </si>
  <si>
    <t>BELANJA CETAK DAN PENGGANDAAN</t>
  </si>
  <si>
    <t>Penggandaan/photo copi laporan bulanan</t>
  </si>
  <si>
    <t>lembar</t>
  </si>
  <si>
    <t>Bendel laporan kegiatan pendamping</t>
  </si>
  <si>
    <t>III</t>
  </si>
  <si>
    <t>BELANJA MAKAN DAN MINUM</t>
  </si>
  <si>
    <t>Konsumsi kue pertemuan kelompok PKH</t>
  </si>
  <si>
    <t>klp</t>
  </si>
  <si>
    <t>Konsumsi rapat koordinasi ketua kelompok cs</t>
  </si>
  <si>
    <t>orang</t>
  </si>
  <si>
    <t>IV</t>
  </si>
  <si>
    <t>BELANJA MATERAI DAN PAJAK YANG BERLAKU</t>
  </si>
  <si>
    <t>Materai Tempel Rp 3.000</t>
  </si>
  <si>
    <t>Materai tempel Rp 6.000</t>
  </si>
  <si>
    <t>Pembayaran pajak yang berlaku (PPH 23)</t>
  </si>
  <si>
    <t>JUMLAH REALISASI BELANJA OPERASIONAL SELURUHNYA</t>
  </si>
  <si>
    <t>Geparang, 30 November 2017</t>
  </si>
  <si>
    <t>UNIT PELAKSANA PKH (UPPKH)</t>
  </si>
  <si>
    <t>Pendamping</t>
  </si>
  <si>
    <t>SUBAGYO</t>
  </si>
  <si>
    <t>NAMA</t>
  </si>
  <si>
    <t>KODE IDENTITAS</t>
  </si>
  <si>
    <t>KELAMIN</t>
  </si>
  <si>
    <t>STATUS</t>
  </si>
  <si>
    <t>JABATAN</t>
  </si>
  <si>
    <t>JAM LEMBUR</t>
  </si>
  <si>
    <t>PAJAK</t>
  </si>
  <si>
    <t>PENGHASILAN BERSIH</t>
  </si>
  <si>
    <t>LEMBUR</t>
  </si>
  <si>
    <t>BAMBANG</t>
  </si>
  <si>
    <t>1111BGL</t>
  </si>
  <si>
    <t>TUKUL</t>
  </si>
  <si>
    <t>1111SRL</t>
  </si>
  <si>
    <t>PAIJO</t>
  </si>
  <si>
    <t>1111SSL</t>
  </si>
  <si>
    <t>PAINEM</t>
  </si>
  <si>
    <t>1221SIP</t>
  </si>
  <si>
    <t>PURWO</t>
  </si>
  <si>
    <t>1331SAL</t>
  </si>
  <si>
    <t>ELY</t>
  </si>
  <si>
    <t>1111BEP</t>
  </si>
  <si>
    <t>JUMAR</t>
  </si>
  <si>
    <t>1111BEL</t>
  </si>
  <si>
    <t>PARJO</t>
  </si>
  <si>
    <t>1441BSL</t>
  </si>
  <si>
    <t>SUTI</t>
  </si>
  <si>
    <t>1111SJP</t>
  </si>
  <si>
    <t>1111BJL</t>
  </si>
  <si>
    <t>KOTEL</t>
  </si>
  <si>
    <t>1111SCL</t>
  </si>
  <si>
    <t>KINTUS</t>
  </si>
  <si>
    <t>1221BDL</t>
  </si>
  <si>
    <t>EDI</t>
  </si>
  <si>
    <t>1111SFL</t>
  </si>
  <si>
    <t>MAWAR</t>
  </si>
  <si>
    <t xml:space="preserve">TOTAL </t>
  </si>
  <si>
    <t>PENGHASILAN TERTINGGI</t>
  </si>
  <si>
    <t>PENGHASILAN TERENDAH</t>
  </si>
  <si>
    <t>PENGHASILAN RATA-RATA</t>
  </si>
  <si>
    <t>JUMLAH KARYAWAN</t>
  </si>
  <si>
    <t>Keterangan :</t>
  </si>
  <si>
    <t xml:space="preserve">Jika jam lembur kurang dari atau sama dengan 4 jam maka akan mendapatkan bonus Rp.50.000 per jam </t>
  </si>
  <si>
    <t>KODE JABATAN</t>
  </si>
  <si>
    <t>KODE</t>
  </si>
  <si>
    <t>B</t>
  </si>
  <si>
    <t>S</t>
  </si>
  <si>
    <t xml:space="preserve">Jika jam lembur lebih dari 4 jam maka akan mendapatkan bonus Rp.100.000 per jam </t>
  </si>
  <si>
    <t>Karyawan</t>
  </si>
  <si>
    <t>Belum Kawin</t>
  </si>
  <si>
    <t>Kawin</t>
  </si>
  <si>
    <t>Tunjangan jabatan sebesar 5% dari gaji pokok</t>
  </si>
  <si>
    <t>Supervisor</t>
  </si>
  <si>
    <t>Pajak sebesar 10% dari gaji pokok</t>
  </si>
  <si>
    <t>Asisten Manager</t>
  </si>
  <si>
    <t>L</t>
  </si>
  <si>
    <t>P</t>
  </si>
  <si>
    <t>Penghasilan bersih penjumlahan total dari gaji pokok di tambah tunjangan dikurangi pajak</t>
  </si>
  <si>
    <t>Manager</t>
  </si>
  <si>
    <t>Laki-Laki</t>
  </si>
  <si>
    <t>Perempuan</t>
  </si>
  <si>
    <t>Kode untuk Jabatan ditunjukan pada 4 digit awal pada kode identitas</t>
  </si>
  <si>
    <t>kode  untuk jenis kelamin ditunjukan pada digit terakhit pada kode identitas</t>
  </si>
  <si>
    <t>kode untuk status perkawinan ditunjukan pada digit ke 5 pada kode identitas</t>
  </si>
  <si>
    <t>RENTAL MOBIL "KURNIAWAN"</t>
  </si>
  <si>
    <t>Jln. KH. Tubagus Abdullah No. 25</t>
  </si>
  <si>
    <t>Tasikmalaya</t>
  </si>
  <si>
    <t>NAMA PENYEWA</t>
  </si>
  <si>
    <t>KODE KENDARAAN</t>
  </si>
  <si>
    <t>JENIS KENDARAAN</t>
  </si>
  <si>
    <t>LAMA SEWA</t>
  </si>
  <si>
    <t>TARIF/ JAM</t>
  </si>
  <si>
    <t>BIAYA SEWA</t>
  </si>
  <si>
    <t>DENDA</t>
  </si>
  <si>
    <t>JUMLAH BAYAR</t>
  </si>
  <si>
    <t>Asep Mubarok</t>
  </si>
  <si>
    <t>MB</t>
  </si>
  <si>
    <t>Budi Santoso</t>
  </si>
  <si>
    <t>TR</t>
  </si>
  <si>
    <t>Erni</t>
  </si>
  <si>
    <t>SD</t>
  </si>
  <si>
    <t>Futri</t>
  </si>
  <si>
    <t>Gunawan</t>
  </si>
  <si>
    <t>TOTAL BAYAR</t>
  </si>
  <si>
    <t>RATA-RATA</t>
  </si>
  <si>
    <t>BAYAR TERTINGGI</t>
  </si>
  <si>
    <t>BAYAR TERENDAH</t>
  </si>
  <si>
    <t>KETERANGAN SOAL :</t>
  </si>
  <si>
    <t>1. Jenis kendaraan MB=mini bus ; SD=Sedan ; TR=Truk</t>
  </si>
  <si>
    <t xml:space="preserve">2. Tarif/ jam </t>
  </si>
  <si>
    <t xml:space="preserve">      SD = Rp. 10.000,-</t>
  </si>
  <si>
    <t>MB = Rp. 12.500,-</t>
  </si>
  <si>
    <t>TR = Rp. 15.000</t>
  </si>
  <si>
    <t>3. Biaya sewa = lama sewa dikali tarif/ jam</t>
  </si>
  <si>
    <t>4. Denda diisi dengan menggunakan fungsi if, dengan ketentuan sebagai berikut :</t>
  </si>
  <si>
    <t xml:space="preserve">     jika lama sewa lebih dari 24 jam, maka kena dengan 5% dari biaya sewa</t>
  </si>
  <si>
    <t>5. Jumlah bayar dicari dari biaya sewa ditambah denda</t>
  </si>
  <si>
    <t>CATATAN :</t>
  </si>
  <si>
    <t xml:space="preserve">Anda menjawab jenis kendaraan dan tarif/ jam bisa menggunakan fungsi vlookup/ hlookup dengan membuat terlebih dahulu tabel bantu </t>
  </si>
  <si>
    <t xml:space="preserve">seperti contoh disamping kiri </t>
  </si>
  <si>
    <t>Kode kendaraan susun secara alphabet</t>
  </si>
  <si>
    <t>Ingat mengetik Tarif ditabel bantu nilai uangnya jangan pakai apa-apa (baik titik, tulisan tek Rp..</t>
  </si>
  <si>
    <t>tanda Rp merupakan hasil format cell : number accounting pilih Rp indonesia</t>
  </si>
  <si>
    <t>langkah mengerjakan vlookup sbb :</t>
  </si>
  <si>
    <t>-</t>
  </si>
  <si>
    <t>simpan pointer di cell jenis kendaraan</t>
  </si>
  <si>
    <t>ketikan rumus =VLOOKUP(</t>
  </si>
  <si>
    <t>klik cell KODE KENDARAAN, sehingg dalam rumums =VLOOKUP(C7</t>
  </si>
  <si>
    <t>lalu koma atau titik koma tergantung format computer anda, biasa ada contoh dibawah</t>
  </si>
  <si>
    <t>pada saat anda memasukan rumus. =VLOOKUP(C7;</t>
  </si>
  <si>
    <t>lalu blok tabel bantu mulai dari A20 s.d. C22 (ingat jangan ngeblok dari judul kolom tabel bantu)</t>
  </si>
  <si>
    <t>=VLOOKUP(C7;A20:C22</t>
  </si>
  <si>
    <t>TABEL BANTU</t>
  </si>
  <si>
    <t>setelah ngeblok tekan F4 satu kali, sehingga range tabel bantu dikunci seperti :</t>
  </si>
  <si>
    <t>=VLOOKUP(C7;A$20$:$C$22</t>
  </si>
  <si>
    <t>KODE KEND.</t>
  </si>
  <si>
    <t>Tarif</t>
  </si>
  <si>
    <t>lalu koma atau titik koma, lalu beri nomor indek kolom, untuk jenis kendaraan indek 2 dan</t>
  </si>
  <si>
    <t>MINI BUS</t>
  </si>
  <si>
    <t>SEDAN</t>
  </si>
  <si>
    <t>untuk tarif indek 3, sehinnga rumus akhir sbb :</t>
  </si>
  <si>
    <t>TRUK</t>
  </si>
  <si>
    <t>=VLOOKUP(C7;$A$20:$C$22;2) Untuk mengisi JENIS KENDARAAN</t>
  </si>
  <si>
    <t>=VLOOKUP(C7;$A$20:$C$22;3) Untuk mengisi TARFI/ JAM</t>
  </si>
  <si>
    <t>ANDA PUN BISA MENJAWAB JENIS KENDARAAN DAN TARIF/ JAM DENGAN FUNGSI IF,</t>
  </si>
  <si>
    <t>CONTOH MENGGUNAKAN IF</t>
  </si>
  <si>
    <t>BERARTI ANDA TIDAK USAH MEMBUAT TABEL BANTU, ITUPUN KALAU DIANJURKAN/ DIBOLEHKAN OLEH SOAL/ PENGUJI.</t>
  </si>
  <si>
    <t>APABILA MENGGUNAKAN IF SBB : LIHAT SOAL DISAMPING</t>
  </si>
  <si>
    <t>=IF(C28="MB";"MINI BUS";IF(C28="SD";"SEDAN";"TRUK"))</t>
  </si>
  <si>
    <t>=IF(C28="MB";12500;IF(C28="SD";10000;15000))</t>
  </si>
  <si>
    <t>Untuk mengisi DENDA gunakan if</t>
  </si>
  <si>
    <t>ingat rumus dasar if, yaitu =IF(EKSPRESI LOGIKA, PERINTAH 1, PERINTAH 2)</t>
  </si>
  <si>
    <t>Ingat ada koma, ada juga titik koma, lihat contoh rumus dibawah pada saat anda mengetik =if</t>
  </si>
  <si>
    <t>ingat apabila ekspresi logika, perintah 1 atau perintah 2 berupa teks harus pakai tanda petik</t>
  </si>
  <si>
    <t xml:space="preserve">sedangkan kalau angka tidak pakai tanda petik, angka jangan pakai tanda apa-apa, </t>
  </si>
  <si>
    <t>kalau mau pakai rupiah dengan cara diformat nanti.</t>
  </si>
  <si>
    <t>INGAT MENGERJAKAN SOAL YANG TELITI, JANGAN TERBURU-BURU</t>
  </si>
  <si>
    <t>JUDUL TABEL, JUDUL KOLOM IKUTI PETUNJUK ATAU PERINTAH</t>
  </si>
  <si>
    <t>KALAU ADA NILAI UANG DIFORMAT PAKAI RUPIAH (SESUAI DENGAN PERINTAH)</t>
  </si>
  <si>
    <t>KALAU ADA CLIPART/GAMBAR JANGAN LUPA</t>
  </si>
  <si>
    <t>ANDA BLOK DATA MULAI DARI DATA KE 1 SAMPAI DATA KE 5</t>
  </si>
  <si>
    <t xml:space="preserve">CONTOH JAWABAN YANG KE 2 : BLOK MULAI DARI A28:I32 </t>
  </si>
  <si>
    <t>LALU PILIH TAB MENU DATA</t>
  </si>
  <si>
    <t>KLIK SORT</t>
  </si>
  <si>
    <t>PADA SORT BY KLIK PANAHNYA LALU PILIH MAU BERDASARKAN KOLOM APA MENGURUTKANNYA</t>
  </si>
  <si>
    <t>APAKAH NAMA PENYEWA ATAU JUMLAH BAYAR ATAU YANG LAINNYA TINGGL PILIH</t>
  </si>
  <si>
    <t>LALU TENTUKAN JUGA PILIHAN ORDER (KALAU NAMA PENYEWA, APAKAH DARI A KE Z ATAU DARI Z KE A), KALAU JUMLAH BAYAR (APAKAH DARI LARGE KE SMALL, ATAU DARI SMALL KE LARGE)</t>
  </si>
  <si>
    <t>LALU KLIK ok</t>
  </si>
  <si>
    <t>UNTUK CONTOH SOAL 2 (APABILA ADA VLOOKUP ATAU HLOOKUP)</t>
  </si>
  <si>
    <t>LOSMEN "FARIDA"</t>
  </si>
  <si>
    <t>KODE KAMAR</t>
  </si>
  <si>
    <t>JENIS KAMAR</t>
  </si>
  <si>
    <t>LAMA INAP</t>
  </si>
  <si>
    <t>TARIF/ MALAM</t>
  </si>
  <si>
    <t>BIAYA INAP</t>
  </si>
  <si>
    <t>DISCOUNT</t>
  </si>
  <si>
    <t>V</t>
  </si>
  <si>
    <t>E</t>
  </si>
  <si>
    <t>KODE KMAR</t>
  </si>
  <si>
    <t>LUX</t>
  </si>
  <si>
    <t>VIP</t>
  </si>
  <si>
    <t>Tarif/ malam</t>
  </si>
  <si>
    <t>EKONOMIS</t>
  </si>
  <si>
    <t>INGAT YANG HLOOKUP UNTUK MENGISI TARIF/MALAM INDEK KE 3</t>
  </si>
  <si>
    <t>1. Jenis kamar dan tarif/ malam isi dengan menggunakan fungsi pembaca tabel lookup</t>
  </si>
  <si>
    <t>2. Biaya inap lama inap dikali tarif/ malam</t>
  </si>
  <si>
    <t>3. Discount diisi dengan menggunakan if dengan ketentuan sbb :</t>
  </si>
  <si>
    <t xml:space="preserve">     jika lama inap lebih dari 5 hari, discount 5% dari biaya inap</t>
  </si>
  <si>
    <t>5. Jumlah bayar dicari dari biaya inap dikurangi discount</t>
  </si>
  <si>
    <t>"ingat tabel bantu disusun secara alphabet"</t>
  </si>
  <si>
    <t>PEMERINTAH KOTA TASIKMALAYA</t>
  </si>
  <si>
    <t>DINAS PENDIDIKAN</t>
  </si>
  <si>
    <t>SEKOLAH MENENGAH KEJURUAN NEGERI 1 TASIKMALAYA</t>
  </si>
  <si>
    <t>KELOMPOK BISNIS MANAJEMEN - INFORMATIKA DAN PARIWISATA</t>
  </si>
  <si>
    <t>Jalan Mancogeh Nomor 26 Telepon/Fax (0265) 331359 Tasikmalaya</t>
  </si>
  <si>
    <t>Ujian Praktek KKPI - Program Aplikasi Excel</t>
  </si>
  <si>
    <t>Tingkat XII - Tanggal 26 Maret - 1 April 2010</t>
  </si>
  <si>
    <t>Petunjuk :</t>
  </si>
  <si>
    <t xml:space="preserve"> 1. Pembuatan Judul dimulai baris 3, pada Sel A1 tulis Nomor Peserta Ujian dan di sel G1 langsung Nama Anda</t>
  </si>
  <si>
    <t xml:space="preserve"> 2. Untuk Jenis Kendaraaan dan Tarip Sewa dapat menggunakan rumus IF, namun lebih baik menggunakan </t>
  </si>
  <si>
    <t xml:space="preserve">     Rumus Fungsi Khusus dengan terlebih dulu membuat Tabel Bantu ( V atau H Lookup )</t>
  </si>
  <si>
    <t xml:space="preserve"> 3. Bila selesai beritahu Pengawas</t>
  </si>
  <si>
    <t>No UN</t>
  </si>
  <si>
    <t>Nama</t>
  </si>
  <si>
    <t>Rental Mobil</t>
  </si>
  <si>
    <t>Barokah Pisan</t>
  </si>
  <si>
    <t>HASIL PENYEWAAN MOBIL BULAN DESEMBER 2008</t>
  </si>
  <si>
    <t>No</t>
  </si>
  <si>
    <t>Nama Penyewa</t>
  </si>
  <si>
    <t>Jenis</t>
  </si>
  <si>
    <t>Lama</t>
  </si>
  <si>
    <t>Tarip</t>
  </si>
  <si>
    <t>Biaya</t>
  </si>
  <si>
    <t>Bonus</t>
  </si>
  <si>
    <t>Yang</t>
  </si>
  <si>
    <t>Mobil</t>
  </si>
  <si>
    <t>Pinjam</t>
  </si>
  <si>
    <t>Kendaraan</t>
  </si>
  <si>
    <t>Sewa/hari</t>
  </si>
  <si>
    <t>Sewa</t>
  </si>
  <si>
    <t>dibayar</t>
  </si>
  <si>
    <t>Aji Anwari</t>
  </si>
  <si>
    <t>Sd</t>
  </si>
  <si>
    <t>Dudi Mulyadi</t>
  </si>
  <si>
    <t>Tr</t>
  </si>
  <si>
    <t>Hani Rafana</t>
  </si>
  <si>
    <t>Rani Giriwati</t>
  </si>
  <si>
    <t>Mb</t>
  </si>
  <si>
    <t>Unang Pradana</t>
  </si>
  <si>
    <t>Wendi Ruswendi</t>
  </si>
  <si>
    <t>Total</t>
  </si>
  <si>
    <t xml:space="preserve">     - Jenis Kendaraan Sd = Sedan - Tr = Truk dan Mb adalah Mini Bus </t>
  </si>
  <si>
    <t xml:space="preserve">     - Tarip Sewa perhari untuk Truk Rp 300.000,- - Mini Bus Rp 400.000,- dan Sedan Rp 200.000,-</t>
  </si>
  <si>
    <t xml:space="preserve">     - Bonus hanya diberikan kepada yang menyewa lebih dari seminggu sebesar 7.5 % dari Biaya Sewa</t>
  </si>
  <si>
    <t xml:space="preserve">     - Bubuhkan mata uang rupiah bila memungkinkan</t>
  </si>
  <si>
    <t xml:space="preserve">     - Urutkan berdasarkan Nama Penyewa</t>
  </si>
  <si>
    <t xml:space="preserve">     - Rekam dengan nama : UJI-EXCEL  No Perserta  </t>
  </si>
  <si>
    <t>Selamat Bekerja</t>
  </si>
  <si>
    <t>1. Tugas ini terdiri dari berbagai latihan soal Praktik Komputer yang disusun berdasarkan tingkat kesukaran</t>
  </si>
  <si>
    <t>2. Kerjakan Semua Tugas yang terdapat di dalam Workbook ini mulai dari Tugas 1, 2, dst. Pada lembar kerja yang disediakan</t>
  </si>
  <si>
    <t>TERBILANG (DUA JUTA DUA PULUH RIBU EMPAT RATUS RUPIAH)</t>
  </si>
  <si>
    <t>3. Save workbook dengan Nama Anda_Tes-Excel-Perangkat-Desa</t>
  </si>
  <si>
    <t>KALAU DISURUH DISORTING, MAKA PROSEDURNYA :</t>
  </si>
  <si>
    <t>Sedan</t>
  </si>
  <si>
    <t>Truk</t>
  </si>
  <si>
    <t>Mini Bus</t>
  </si>
  <si>
    <t>SOAL TES MICROSOFT EXCEL PERANGKAT DESA SIMO, KECAMATAN KWADUNGAN, KAB. NGAWI</t>
  </si>
  <si>
    <t>No. Pendaftaran (Jika Ada)</t>
  </si>
  <si>
    <t>Nama Lengkap</t>
  </si>
  <si>
    <t>Formasi</t>
  </si>
  <si>
    <t>Instruksi : Bagi peserta yang mengabaikan instruksi berikut maka untuk setiap pertanyaan akan diberikan skor 0 (nol)</t>
  </si>
  <si>
    <t>1. Isilah kolom-kolom yang kosong di bawah ini dengan rumus/formula pada tempat yang sudah disediakan (warna kuning) kemudian copy-kan rumus itu ke bawah sampai data terakhir (nama pertama sampai terakhir).</t>
  </si>
  <si>
    <t>2. Dilarang membuat tabel bantu atau sheet bantu.</t>
  </si>
  <si>
    <t>DAFTAR NAMA ANAK USIA SEKOLAH</t>
  </si>
  <si>
    <t>DESA SIMO, KECAMATAN KWADUNGAN, KABUPATEN NGAWI TAHUN 2022</t>
  </si>
  <si>
    <t>KODE WARGA</t>
  </si>
  <si>
    <t>USIA</t>
  </si>
  <si>
    <t>JENIS KELAMIN</t>
  </si>
  <si>
    <t>STATUS ANAK</t>
  </si>
  <si>
    <t>PENDIDIKAN</t>
  </si>
  <si>
    <t>BANTUAN DARI DINA SOSIAL</t>
  </si>
  <si>
    <t>PPh 
BANTUAN DINAS SOSIAL</t>
  </si>
  <si>
    <t>BANTUAN DARI DINAS PENDIDIKAN</t>
  </si>
  <si>
    <t>PPh BANTUAN DARI DINAS PENDIDIKAN</t>
  </si>
  <si>
    <t>JUMLAH PEROLEHAN</t>
  </si>
  <si>
    <t>JUMLAH POTONGAN</t>
  </si>
  <si>
    <t>PEROLEHAN BERSIH</t>
  </si>
  <si>
    <t>AHMAD ALY MUMTAZ</t>
  </si>
  <si>
    <t>5PP20L</t>
  </si>
  <si>
    <t>AJI HENDRY PRADANI</t>
  </si>
  <si>
    <t>0YP04L</t>
  </si>
  <si>
    <t>ALIZA QOTRUNNADA MUNAWAROH</t>
  </si>
  <si>
    <t>4YY15P</t>
  </si>
  <si>
    <t>APRILIANA KARUNIA PUTRI</t>
  </si>
  <si>
    <t>0YP17P</t>
  </si>
  <si>
    <t>ARIF CAHYONO</t>
  </si>
  <si>
    <t>1PP06L</t>
  </si>
  <si>
    <t>BINTI ROHMATIN</t>
  </si>
  <si>
    <t>3YP15P</t>
  </si>
  <si>
    <t>DESTIANA KUSUMA ANGGRAINI</t>
  </si>
  <si>
    <t>3PP14P</t>
  </si>
  <si>
    <t>DESY RITA RAHMADANI</t>
  </si>
  <si>
    <t>DHURRIYATUL MA'SUMAH</t>
  </si>
  <si>
    <t>5YP20P</t>
  </si>
  <si>
    <t>DIANA NURHANIFAH</t>
  </si>
  <si>
    <t>0LK03P</t>
  </si>
  <si>
    <t>DIAZ AYU FADILLAH</t>
  </si>
  <si>
    <t>1LK03L</t>
  </si>
  <si>
    <t>DUNIA AHMADA NUR ALIF</t>
  </si>
  <si>
    <t>3YY13L</t>
  </si>
  <si>
    <t>DWI AHFA JAMIINGATIROH</t>
  </si>
  <si>
    <t>2LK10P</t>
  </si>
  <si>
    <t>ELSA PUDYANINGRAT</t>
  </si>
  <si>
    <t>2YY08P</t>
  </si>
  <si>
    <t>ERLITA DINAR WIRADANI</t>
  </si>
  <si>
    <t>0LK14P</t>
  </si>
  <si>
    <t>FADILA AZAMTA</t>
  </si>
  <si>
    <t>4YY16P</t>
  </si>
  <si>
    <t>FANNY SEPTI NURCAHYANI</t>
  </si>
  <si>
    <t>FARID PINANGGITO</t>
  </si>
  <si>
    <t>3LK13L</t>
  </si>
  <si>
    <t>FATIMAH LINA KUSUMA RAHAYU</t>
  </si>
  <si>
    <t>0YY19P</t>
  </si>
  <si>
    <t>FEGGA FISETYA RAHMADI PUTERA</t>
  </si>
  <si>
    <t>4YY17P</t>
  </si>
  <si>
    <t>FITRIA EKA HANDAYANI</t>
  </si>
  <si>
    <t>4LK19P</t>
  </si>
  <si>
    <t>HASYIM MASHUDI</t>
  </si>
  <si>
    <t>0LK01L</t>
  </si>
  <si>
    <t>IRENE PUTRIANI</t>
  </si>
  <si>
    <t>0YY18P</t>
  </si>
  <si>
    <t>IZZA TAUFIQURRAHIM</t>
  </si>
  <si>
    <t>3LK12L</t>
  </si>
  <si>
    <t>KHUMAIDA JIHAN NURROHMAH</t>
  </si>
  <si>
    <t>0YP02P</t>
  </si>
  <si>
    <t>LILIS DWI ASTUTIK</t>
  </si>
  <si>
    <t>0YP04P</t>
  </si>
  <si>
    <t>LU'LU' ZIYANAT TUQO</t>
  </si>
  <si>
    <t>3PP12P</t>
  </si>
  <si>
    <t>LUTFI ANUNG PRADIPTA</t>
  </si>
  <si>
    <t>4PP15P</t>
  </si>
  <si>
    <t>M NAJMUT SAQIB IRJI'I MUSTAQIM</t>
  </si>
  <si>
    <t>4YP15L</t>
  </si>
  <si>
    <t>MAHDAVIKIA FIRDAUSI</t>
  </si>
  <si>
    <t>5LK20L</t>
  </si>
  <si>
    <t>KETENTUAN MENGERJAKAN:</t>
  </si>
  <si>
    <t>Kolom JENIS KELAMIN (Skor 10)</t>
  </si>
  <si>
    <t>Isian kolom JENIS KELAMIN didasarkan dari kolom KODE WARGA pada karakter paling akhir (paling kanan) dengan ketentuan:</t>
  </si>
  <si>
    <t>- jika karakter paling kanan adalah L maka LAKI-LAKI</t>
  </si>
  <si>
    <t>- jika karakter paling kanan adalah P maka perempuan</t>
  </si>
  <si>
    <t>Kolom STATUS ANAK (Skor 10)</t>
  </si>
  <si>
    <t>Isian kolom STATUS ANAK didasarkan dari kolom KODE WARGA pada karakter ke-2 dan ke-3 dengan ketentuan sebagai berikut:</t>
  </si>
  <si>
    <t>- jika karakter ke-2 dan ke-3 adalah PP maka PIATU</t>
  </si>
  <si>
    <t>- Jika karakter ke-2 dan ke-3 adalah YY maka YATIM</t>
  </si>
  <si>
    <t>- Jika karakter ke-2 dan ke-3 adalah YP maka YATIM PIATU</t>
  </si>
  <si>
    <t>- Jika karakter ke-2 dan ke-3 adalah LK mala LENGKAP</t>
  </si>
  <si>
    <t>Kolom PENDIDIKAN (Skor 15)</t>
  </si>
  <si>
    <t>Isian kolom PENDIDIKAN didasarkan dari kolom KODE WARGA pada karakter ke-1 (paling kiri) dengan ketentuan sebagai berikut:</t>
  </si>
  <si>
    <t>- Jika karakter paling kiri adalah 0 maka TIDAK SEKOLAH</t>
  </si>
  <si>
    <t>- Jika karakter paling kiri adalah 1 maka TK</t>
  </si>
  <si>
    <t>- Jika karakter paling kiri adalah 2 maka SD</t>
  </si>
  <si>
    <t>- Jika karakter paling kiri adalah 3 maka SMP</t>
  </si>
  <si>
    <t>- Jika karakter paling kiri adalah 4 maka SMA</t>
  </si>
  <si>
    <t>- Jika karakter paling kiri adalah 5 maka KULIAH</t>
  </si>
  <si>
    <t>Kolom BANTUAN DARI DINAS SOSIAL (Skor 15)</t>
  </si>
  <si>
    <t>Isian kolom BANTUAN DARI DINAS SOSIAL didasarkan oleh kolom USIA dan kolom STATUS ANAK dengan ketentuan:</t>
  </si>
  <si>
    <t>- Jika kolom USIA 15 tahun kebawah dan kolom STATUS ANAK yatim piatu maka mendapatkan bantuan sebesar 2000000 rupiah</t>
  </si>
  <si>
    <t>- Jika kolom USIA 15 tahun kebawah dan kolom STATUS ANAK yatim atau piatu maka mendapatkan bantuan sebesar 1500000 rupiah</t>
  </si>
  <si>
    <t>- selain itu mendapatkan bantuan 0 rupiah</t>
  </si>
  <si>
    <t>Kolom PPh BANTUAN DARI DINAS SOSIAL (Skor 5)</t>
  </si>
  <si>
    <t>Isian kolom PPh BANTUAN DARI DINAS SOSIAL didasarkan dari kolom BANTUAN DARI DINAS SOSIAL dengan ketentuan:</t>
  </si>
  <si>
    <t>- PPh sebesar 2% dari BANTUAN DARI DINAS SOSIAL</t>
  </si>
  <si>
    <t>Kolom BANTUAN DARI DINAS PENDIDIKAN (Skor 25)</t>
  </si>
  <si>
    <t>Isian kolom BANTUAN DARI DINAS PENDIDIKAN didasarkan pada kolom STATUS ANAK dan PENDIDIKAN dengan ketentuan:</t>
  </si>
  <si>
    <t>- Jika kolom STATUS ANAK yatim piatu dan kolom PENDIDIKAN SMA atau KULIAH maka mendapatkan bantuan sebesar 3000000 rupiah</t>
  </si>
  <si>
    <t>- Jika kolom STATUS ANAK yatim piatu dan kolom PENDIDIKAN TK atau SD atau SMP maka mendapatkan bantuan sebesar 2500000 rupiah</t>
  </si>
  <si>
    <t>- Jika kolom STATUS ANAK yatim atau piatu dan kolom PENDIDIKAN SMA atau KULIAH maka mendapatkan bantuan sebesar 2000000 rupiah</t>
  </si>
  <si>
    <t>- Jika kolom STATUS ANAK yatim atau piatu dan kolom PENDIDIKAN TK atau SD atau SMP maka mendapatkan bantuan sebesar 1500000 rupiah</t>
  </si>
  <si>
    <t>Kolom PPh BANTUAN DARI DINAS PENDIDIKAN (Skor 5)</t>
  </si>
  <si>
    <t>Isian kolom PPh BANTUAN DARI DINAS PENDIDIKAN didasarkan dari kolom BANTUAN DARI DINAS PENDIDIKAN dengan ketentuan:</t>
  </si>
  <si>
    <t>PPh sebesar 2,5% dari BANTUAN DARI DINAS PENDIDIKAN</t>
  </si>
  <si>
    <t>Kolom JUMLAH PEROLEHAN (Skor 5)</t>
  </si>
  <si>
    <t>Isian kolom JUMLAH PEROLEHAN didapatkan melalui penjumlahan antara BANTUAN DARI DINAS SOSIAL dan BANTUAN DARI DINAS PENDIDIKAN</t>
  </si>
  <si>
    <t>Kolom JUMLAH POTONGAN (Skor 5)</t>
  </si>
  <si>
    <t>Isian kolom JUMLAH POTONGAN didapatkan melalui penjumlahan antara PPh BANTUAN DARI DINAS SOSIAL dan PPh BANTUAN DARI DINAS PENDIDIKAN</t>
  </si>
  <si>
    <t>Kolom PEROLEHAN BERSIH (Skor 5)</t>
  </si>
  <si>
    <t>Isian kolom PEROLEHAN BERSIH didapatkan dari JUMLAH PEROLEHAN dikurangi JUMLAH POTONGAN</t>
  </si>
  <si>
    <t>Berapa jumlah anggaran yang dikeluarkan untuk membayar gaji pokok ?</t>
  </si>
  <si>
    <t>Berapa jumlah anggaran yang dikeluarkan untuk membayar keseluruhan tunjangan ?</t>
  </si>
  <si>
    <t>Berapa usia pegawai Pria tertua pada tahun 2021 ?</t>
  </si>
  <si>
    <t>Berapa Rata-Rata pendapatan (Gaji+Tunjangan) Pegawai ?</t>
  </si>
  <si>
    <t>Berapa pendapatan (Gaji + Tunjangan) pegawai berstatus kawin yang tertinggi</t>
  </si>
  <si>
    <t>TABEL GAJI</t>
  </si>
  <si>
    <t>TABEL BEBAN KERJA</t>
  </si>
  <si>
    <t>SMP</t>
  </si>
  <si>
    <t>PRIA</t>
  </si>
  <si>
    <t>SMA</t>
  </si>
  <si>
    <t>WANITA</t>
  </si>
  <si>
    <t>D3</t>
  </si>
  <si>
    <t>S2</t>
  </si>
  <si>
    <t>NIK</t>
  </si>
  <si>
    <t>ANAK</t>
  </si>
  <si>
    <t>TGL LAHIR</t>
  </si>
  <si>
    <t>UMUR</t>
  </si>
  <si>
    <t>GAJI + TUNJANGAN</t>
  </si>
  <si>
    <t>ISTRI/SUAMI</t>
  </si>
  <si>
    <t>BEBAN KERJA</t>
  </si>
  <si>
    <t>AHMAD</t>
  </si>
  <si>
    <t>3523050706810004</t>
  </si>
  <si>
    <t>KAWIN</t>
  </si>
  <si>
    <t>BAYU</t>
  </si>
  <si>
    <t>3523057112950016</t>
  </si>
  <si>
    <t>KHOIRIL</t>
  </si>
  <si>
    <t>3523052403740016</t>
  </si>
  <si>
    <t>BELUM KAWIN</t>
  </si>
  <si>
    <t>DINAR</t>
  </si>
  <si>
    <t>3523050308890015</t>
  </si>
  <si>
    <t>EKA</t>
  </si>
  <si>
    <t>3523054902750001</t>
  </si>
  <si>
    <t>TIDAK KAWIN</t>
  </si>
  <si>
    <t>FAHRI</t>
  </si>
  <si>
    <t>3523051003820013</t>
  </si>
  <si>
    <t>S1</t>
  </si>
  <si>
    <t>GALUH</t>
  </si>
  <si>
    <t>3523056404650015</t>
  </si>
  <si>
    <t>HARI</t>
  </si>
  <si>
    <t>3523051511950001</t>
  </si>
  <si>
    <t>ITA</t>
  </si>
  <si>
    <t>3523054302740019</t>
  </si>
  <si>
    <t>JOKO</t>
  </si>
  <si>
    <t>3523050101650017</t>
  </si>
  <si>
    <t>CIKI</t>
  </si>
  <si>
    <t>3523051506770016</t>
  </si>
  <si>
    <t>LALA</t>
  </si>
  <si>
    <t>3523055509630001</t>
  </si>
  <si>
    <t>TUNJANGAN SUAMI/ISTRI DIBERIKAN PEGAWAI YANG BERSTATUS KAWIN SEBESAR 5% DARI GAJI POKOK</t>
  </si>
  <si>
    <t>TUNJANGAN ANAK DIBERIKAN SEBESAR 2,5% DARI GAJI POKOK PER ANAK</t>
  </si>
  <si>
    <r>
      <t xml:space="preserve">NOTE: Rumus </t>
    </r>
    <r>
      <rPr>
        <b/>
        <sz val="11"/>
        <color theme="0"/>
        <rFont val="Calibri"/>
        <family val="2"/>
        <scheme val="minor"/>
      </rPr>
      <t>MAXIFS</t>
    </r>
    <r>
      <rPr>
        <sz val="11"/>
        <color theme="0"/>
        <rFont val="Calibri"/>
        <family val="2"/>
        <scheme val="minor"/>
      </rPr>
      <t xml:space="preserve"> hanya tersedia pada Office 2019 ke atas atau office 365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</si>
</sst>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_);_(* \(#,##0\);_(* &quot;-&quot;_);_(@_)"/>
    <numFmt numFmtId="165" formatCode="_(* #,##0.00_);_(* \(#,##0.00\);_(* &quot;-&quot;??_);_(@_)"/>
    <numFmt numFmtId="166" formatCode="_-[$Rp-421]* #,##0.00_-;\-[$Rp-421]* #,##0.00_-;_-[$Rp-421]* &quot;-&quot;??_-;_-@_-"/>
    <numFmt numFmtId="167" formatCode="dd/mm/yyyy;@"/>
    <numFmt numFmtId="168" formatCode="_-[$Rp-421]* #,##0_-;\-[$Rp-421]* #,##0_-;_-[$Rp-421]* &quot;-&quot;_-;_-@_-"/>
    <numFmt numFmtId="169" formatCode="_(&quot;Rp&quot;* #,##0_);_(&quot;Rp&quot;* \(#,##0\);_(&quot;Rp&quot;* &quot;-&quot;_);_(@_)"/>
    <numFmt numFmtId="170" formatCode="_([$Rp-421]* #,##0_);_([$Rp-421]* \(#,##0\);_([$Rp-421]* &quot;-&quot;_);_(@_)"/>
    <numFmt numFmtId="171" formatCode="_([$Rp-421]* #,##0_);_([$Rp-421]* \(#,##0\);_([$Rp-421]* &quot;-&quot;??_);_(@_)"/>
    <numFmt numFmtId="172" formatCode="_-[$Rp-421]* #,##0_-;\-[$Rp-421]* #,##0_-;_-[$Rp-421]* &quot;-&quot;??_-;_-@_-"/>
    <numFmt numFmtId="173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Gabriola"/>
      <family val="5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haroni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ahoma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i/>
      <sz val="14"/>
      <name val="Times New Roman"/>
      <family val="1"/>
    </font>
    <font>
      <b/>
      <sz val="16"/>
      <name val="Comic Sans MS"/>
      <family val="4"/>
    </font>
    <font>
      <u/>
      <sz val="12"/>
      <name val="Comic Sans MS"/>
      <family val="4"/>
    </font>
    <font>
      <sz val="10"/>
      <name val="Times New Roman"/>
      <family val="1"/>
    </font>
    <font>
      <b/>
      <i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0" fontId="13" fillId="0" borderId="0"/>
    <xf numFmtId="165" fontId="1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6" fontId="0" fillId="2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/>
    </xf>
    <xf numFmtId="166" fontId="0" fillId="0" borderId="1" xfId="1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0" xfId="0" applyFill="1"/>
    <xf numFmtId="166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7" fontId="0" fillId="0" borderId="1" xfId="0" applyNumberFormat="1" applyBorder="1"/>
    <xf numFmtId="168" fontId="0" fillId="0" borderId="1" xfId="0" applyNumberFormat="1" applyBorder="1"/>
    <xf numFmtId="168" fontId="0" fillId="2" borderId="1" xfId="0" applyNumberFormat="1" applyFill="1" applyBorder="1" applyProtection="1">
      <protection locked="0"/>
    </xf>
    <xf numFmtId="166" fontId="2" fillId="2" borderId="1" xfId="0" applyNumberFormat="1" applyFont="1" applyFill="1" applyBorder="1" applyProtection="1">
      <protection hidden="1"/>
    </xf>
    <xf numFmtId="166" fontId="2" fillId="2" borderId="1" xfId="0" applyNumberFormat="1" applyFont="1" applyFill="1" applyBorder="1" applyProtection="1">
      <protection locked="0"/>
    </xf>
    <xf numFmtId="0" fontId="8" fillId="0" borderId="0" xfId="2"/>
    <xf numFmtId="0" fontId="2" fillId="0" borderId="1" xfId="2" applyFont="1" applyBorder="1" applyAlignment="1">
      <alignment horizontal="center"/>
    </xf>
    <xf numFmtId="0" fontId="8" fillId="0" borderId="1" xfId="2" applyBorder="1" applyAlignment="1">
      <alignment horizontal="center"/>
    </xf>
    <xf numFmtId="0" fontId="8" fillId="0" borderId="1" xfId="2" applyBorder="1" applyAlignment="1">
      <alignment horizontal="left"/>
    </xf>
    <xf numFmtId="0" fontId="8" fillId="6" borderId="1" xfId="2" applyFill="1" applyBorder="1" applyAlignment="1">
      <alignment horizontal="center"/>
    </xf>
    <xf numFmtId="169" fontId="8" fillId="6" borderId="1" xfId="2" applyNumberFormat="1" applyFill="1" applyBorder="1" applyAlignment="1">
      <alignment horizontal="center"/>
    </xf>
    <xf numFmtId="0" fontId="8" fillId="0" borderId="0" xfId="2" applyAlignment="1">
      <alignment horizontal="center"/>
    </xf>
    <xf numFmtId="0" fontId="7" fillId="0" borderId="0" xfId="2" applyFont="1" applyAlignment="1">
      <alignment horizontal="center"/>
    </xf>
    <xf numFmtId="169" fontId="8" fillId="0" borderId="1" xfId="2" applyNumberFormat="1" applyBorder="1" applyAlignment="1">
      <alignment horizontal="center"/>
    </xf>
    <xf numFmtId="0" fontId="8" fillId="2" borderId="1" xfId="2" applyFill="1" applyBorder="1" applyAlignment="1">
      <alignment horizontal="center"/>
    </xf>
    <xf numFmtId="169" fontId="8" fillId="2" borderId="1" xfId="2" applyNumberFormat="1" applyFill="1" applyBorder="1" applyAlignment="1">
      <alignment horizontal="center"/>
    </xf>
    <xf numFmtId="0" fontId="8" fillId="12" borderId="1" xfId="2" applyFill="1" applyBorder="1" applyAlignment="1">
      <alignment horizontal="center" vertical="center"/>
    </xf>
    <xf numFmtId="0" fontId="8" fillId="12" borderId="1" xfId="2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8" fillId="0" borderId="0" xfId="2" applyAlignment="1">
      <alignment horizontal="center" vertical="center"/>
    </xf>
    <xf numFmtId="0" fontId="8" fillId="0" borderId="1" xfId="2" applyBorder="1"/>
    <xf numFmtId="170" fontId="8" fillId="0" borderId="1" xfId="2" applyNumberFormat="1" applyBorder="1"/>
    <xf numFmtId="0" fontId="11" fillId="0" borderId="0" xfId="2" applyFont="1"/>
    <xf numFmtId="169" fontId="8" fillId="0" borderId="0" xfId="2" applyNumberFormat="1"/>
    <xf numFmtId="0" fontId="11" fillId="12" borderId="1" xfId="2" applyFont="1" applyFill="1" applyBorder="1" applyAlignment="1">
      <alignment horizontal="center" vertical="center"/>
    </xf>
    <xf numFmtId="0" fontId="11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/>
    </xf>
    <xf numFmtId="0" fontId="11" fillId="0" borderId="1" xfId="2" applyFont="1" applyBorder="1"/>
    <xf numFmtId="169" fontId="11" fillId="0" borderId="1" xfId="2" applyNumberFormat="1" applyFont="1" applyBorder="1"/>
    <xf numFmtId="0" fontId="8" fillId="0" borderId="0" xfId="2" applyAlignment="1">
      <alignment horizontal="right"/>
    </xf>
    <xf numFmtId="0" fontId="8" fillId="0" borderId="0" xfId="2" quotePrefix="1"/>
    <xf numFmtId="169" fontId="8" fillId="0" borderId="1" xfId="2" applyNumberFormat="1" applyBorder="1"/>
    <xf numFmtId="170" fontId="11" fillId="0" borderId="1" xfId="2" applyNumberFormat="1" applyFont="1" applyBorder="1"/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wrapText="1"/>
    </xf>
    <xf numFmtId="171" fontId="11" fillId="0" borderId="1" xfId="2" applyNumberFormat="1" applyFont="1" applyBorder="1"/>
    <xf numFmtId="0" fontId="12" fillId="0" borderId="0" xfId="2" applyFont="1"/>
    <xf numFmtId="0" fontId="13" fillId="0" borderId="0" xfId="3"/>
    <xf numFmtId="0" fontId="13" fillId="0" borderId="13" xfId="3" applyBorder="1"/>
    <xf numFmtId="0" fontId="16" fillId="0" borderId="0" xfId="3" applyFont="1"/>
    <xf numFmtId="0" fontId="17" fillId="0" borderId="0" xfId="3" applyFont="1"/>
    <xf numFmtId="0" fontId="18" fillId="0" borderId="0" xfId="3" quotePrefix="1" applyFont="1"/>
    <xf numFmtId="0" fontId="19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0" fontId="18" fillId="0" borderId="19" xfId="3" applyFont="1" applyBorder="1" applyAlignment="1">
      <alignment horizontal="center"/>
    </xf>
    <xf numFmtId="0" fontId="18" fillId="0" borderId="20" xfId="3" applyFont="1" applyBorder="1" applyAlignment="1">
      <alignment horizontal="center"/>
    </xf>
    <xf numFmtId="0" fontId="14" fillId="0" borderId="21" xfId="3" applyFont="1" applyBorder="1"/>
    <xf numFmtId="0" fontId="14" fillId="0" borderId="21" xfId="3" applyFont="1" applyBorder="1" applyAlignment="1">
      <alignment horizontal="center"/>
    </xf>
    <xf numFmtId="169" fontId="14" fillId="0" borderId="21" xfId="3" applyNumberFormat="1" applyFont="1" applyBorder="1" applyAlignment="1">
      <alignment horizontal="center"/>
    </xf>
    <xf numFmtId="169" fontId="14" fillId="0" borderId="21" xfId="3" applyNumberFormat="1" applyFont="1" applyBorder="1"/>
    <xf numFmtId="169" fontId="22" fillId="0" borderId="21" xfId="3" applyNumberFormat="1" applyFont="1" applyBorder="1"/>
    <xf numFmtId="0" fontId="22" fillId="0" borderId="0" xfId="3" applyFont="1"/>
    <xf numFmtId="0" fontId="18" fillId="0" borderId="0" xfId="3" applyFont="1"/>
    <xf numFmtId="170" fontId="13" fillId="0" borderId="0" xfId="3" applyNumberFormat="1"/>
    <xf numFmtId="0" fontId="22" fillId="0" borderId="22" xfId="3" applyFont="1" applyBorder="1"/>
    <xf numFmtId="169" fontId="22" fillId="0" borderId="25" xfId="3" applyNumberFormat="1" applyFont="1" applyBorder="1" applyAlignment="1">
      <alignment horizontal="center"/>
    </xf>
    <xf numFmtId="0" fontId="18" fillId="0" borderId="0" xfId="3" applyFont="1" applyAlignment="1">
      <alignment horizontal="center"/>
    </xf>
    <xf numFmtId="165" fontId="18" fillId="0" borderId="0" xfId="4" applyFont="1" applyAlignment="1">
      <alignment horizontal="center"/>
    </xf>
    <xf numFmtId="0" fontId="24" fillId="0" borderId="0" xfId="2" applyFont="1"/>
    <xf numFmtId="0" fontId="2" fillId="0" borderId="0" xfId="0" applyFont="1" applyAlignment="1">
      <alignment horizontal="center"/>
    </xf>
    <xf numFmtId="0" fontId="13" fillId="0" borderId="0" xfId="3" quotePrefix="1"/>
    <xf numFmtId="0" fontId="13" fillId="0" borderId="19" xfId="3" applyBorder="1" applyAlignment="1">
      <alignment horizontal="center"/>
    </xf>
    <xf numFmtId="0" fontId="13" fillId="0" borderId="20" xfId="3" applyBorder="1" applyAlignment="1">
      <alignment horizontal="center"/>
    </xf>
    <xf numFmtId="168" fontId="14" fillId="0" borderId="21" xfId="3" applyNumberFormat="1" applyFont="1" applyBorder="1" applyAlignment="1">
      <alignment horizontal="center"/>
    </xf>
    <xf numFmtId="168" fontId="14" fillId="0" borderId="21" xfId="3" applyNumberFormat="1" applyFont="1" applyBorder="1"/>
    <xf numFmtId="168" fontId="22" fillId="0" borderId="21" xfId="3" applyNumberFormat="1" applyFont="1" applyBorder="1"/>
    <xf numFmtId="0" fontId="14" fillId="0" borderId="0" xfId="3" applyFont="1"/>
    <xf numFmtId="169" fontId="25" fillId="0" borderId="25" xfId="3" applyNumberFormat="1" applyFont="1" applyBorder="1" applyAlignment="1">
      <alignment horizontal="center"/>
    </xf>
    <xf numFmtId="0" fontId="13" fillId="0" borderId="0" xfId="3" applyAlignment="1">
      <alignment horizontal="center"/>
    </xf>
    <xf numFmtId="165" fontId="13" fillId="0" borderId="0" xfId="4" applyFont="1" applyAlignment="1">
      <alignment horizontal="center"/>
    </xf>
    <xf numFmtId="0" fontId="2" fillId="13" borderId="1" xfId="0" applyFont="1" applyFill="1" applyBorder="1" applyAlignment="1">
      <alignment horizontal="left" indent="1"/>
    </xf>
    <xf numFmtId="0" fontId="2" fillId="13" borderId="1" xfId="0" applyFont="1" applyFill="1" applyBorder="1"/>
    <xf numFmtId="0" fontId="26" fillId="0" borderId="0" xfId="0" applyFont="1"/>
    <xf numFmtId="0" fontId="0" fillId="13" borderId="1" xfId="0" applyFill="1" applyBorder="1" applyAlignment="1">
      <alignment horizontal="center" vertical="center" wrapText="1"/>
    </xf>
    <xf numFmtId="0" fontId="0" fillId="0" borderId="0" xfId="0" quotePrefix="1"/>
    <xf numFmtId="0" fontId="0" fillId="2" borderId="1" xfId="0" applyFill="1" applyBorder="1"/>
    <xf numFmtId="17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5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quotePrefix="1" applyBorder="1"/>
    <xf numFmtId="14" fontId="0" fillId="0" borderId="0" xfId="0" applyNumberFormat="1"/>
    <xf numFmtId="14" fontId="0" fillId="2" borderId="1" xfId="0" applyNumberFormat="1" applyFill="1" applyBorder="1"/>
    <xf numFmtId="173" fontId="0" fillId="2" borderId="1" xfId="1" applyNumberFormat="1" applyFont="1" applyFill="1" applyBorder="1"/>
    <xf numFmtId="173" fontId="2" fillId="0" borderId="1" xfId="0" applyNumberFormat="1" applyFont="1" applyBorder="1"/>
    <xf numFmtId="173" fontId="0" fillId="2" borderId="0" xfId="0" applyNumberFormat="1" applyFill="1"/>
    <xf numFmtId="0" fontId="0" fillId="2" borderId="0" xfId="0" applyFill="1"/>
    <xf numFmtId="173" fontId="0" fillId="2" borderId="0" xfId="1" applyNumberFormat="1" applyFont="1" applyFill="1"/>
    <xf numFmtId="0" fontId="3" fillId="8" borderId="0" xfId="0" applyFont="1" applyFill="1"/>
    <xf numFmtId="0" fontId="3" fillId="5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166" fontId="0" fillId="2" borderId="1" xfId="0" applyNumberForma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center" vertical="center"/>
    </xf>
    <xf numFmtId="166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14" fillId="0" borderId="23" xfId="3" applyFont="1" applyBorder="1" applyAlignment="1">
      <alignment horizontal="center"/>
    </xf>
    <xf numFmtId="0" fontId="14" fillId="0" borderId="24" xfId="3" applyFont="1" applyBorder="1" applyAlignment="1">
      <alignment horizontal="center"/>
    </xf>
    <xf numFmtId="0" fontId="14" fillId="0" borderId="25" xfId="3" applyFont="1" applyBorder="1" applyAlignment="1">
      <alignment horizontal="center"/>
    </xf>
    <xf numFmtId="0" fontId="23" fillId="0" borderId="26" xfId="3" applyFont="1" applyBorder="1" applyAlignment="1">
      <alignment horizontal="center" vertical="center"/>
    </xf>
    <xf numFmtId="0" fontId="23" fillId="0" borderId="27" xfId="3" applyFont="1" applyBorder="1" applyAlignment="1">
      <alignment horizontal="center" vertical="center"/>
    </xf>
    <xf numFmtId="0" fontId="23" fillId="0" borderId="28" xfId="3" applyFont="1" applyBorder="1" applyAlignment="1">
      <alignment horizontal="center" vertical="center"/>
    </xf>
    <xf numFmtId="0" fontId="23" fillId="0" borderId="29" xfId="3" applyFont="1" applyBorder="1" applyAlignment="1">
      <alignment horizontal="center" vertical="center"/>
    </xf>
    <xf numFmtId="0" fontId="19" fillId="0" borderId="14" xfId="3" applyFont="1" applyBorder="1" applyAlignment="1">
      <alignment horizontal="center"/>
    </xf>
    <xf numFmtId="0" fontId="19" fillId="0" borderId="13" xfId="3" applyFont="1" applyBorder="1" applyAlignment="1">
      <alignment horizontal="center"/>
    </xf>
    <xf numFmtId="0" fontId="19" fillId="0" borderId="15" xfId="3" applyFont="1" applyBorder="1" applyAlignment="1">
      <alignment horizontal="center"/>
    </xf>
    <xf numFmtId="0" fontId="20" fillId="0" borderId="16" xfId="3" applyFont="1" applyBorder="1" applyAlignment="1">
      <alignment horizontal="center"/>
    </xf>
    <xf numFmtId="0" fontId="20" fillId="0" borderId="17" xfId="3" applyFont="1" applyBorder="1" applyAlignment="1">
      <alignment horizontal="center"/>
    </xf>
    <xf numFmtId="0" fontId="20" fillId="0" borderId="18" xfId="3" applyFont="1" applyBorder="1" applyAlignment="1">
      <alignment horizontal="center"/>
    </xf>
    <xf numFmtId="0" fontId="21" fillId="0" borderId="0" xfId="3" applyFont="1" applyAlignment="1">
      <alignment horizontal="center"/>
    </xf>
    <xf numFmtId="0" fontId="18" fillId="0" borderId="19" xfId="3" applyFont="1" applyBorder="1" applyAlignment="1">
      <alignment horizontal="center" vertical="center"/>
    </xf>
    <xf numFmtId="0" fontId="18" fillId="0" borderId="20" xfId="3" applyFont="1" applyBorder="1" applyAlignment="1">
      <alignment horizontal="center" vertical="center"/>
    </xf>
    <xf numFmtId="0" fontId="18" fillId="0" borderId="19" xfId="3" applyFont="1" applyBorder="1" applyAlignment="1">
      <alignment horizontal="center" vertical="center" wrapText="1"/>
    </xf>
    <xf numFmtId="0" fontId="18" fillId="0" borderId="20" xfId="3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3" fillId="0" borderId="19" xfId="3" applyBorder="1" applyAlignment="1">
      <alignment horizontal="center" vertical="center"/>
    </xf>
    <xf numFmtId="0" fontId="13" fillId="0" borderId="20" xfId="3" applyBorder="1" applyAlignment="1">
      <alignment horizontal="center" vertical="center"/>
    </xf>
    <xf numFmtId="0" fontId="13" fillId="0" borderId="19" xfId="3" applyBorder="1" applyAlignment="1">
      <alignment horizontal="center" vertical="center" wrapText="1"/>
    </xf>
    <xf numFmtId="0" fontId="13" fillId="0" borderId="20" xfId="3" applyBorder="1" applyAlignment="1">
      <alignment horizontal="center" vertical="center" wrapText="1"/>
    </xf>
    <xf numFmtId="0" fontId="16" fillId="0" borderId="17" xfId="3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9" xfId="2" applyFont="1" applyBorder="1" applyAlignment="1">
      <alignment horizontal="center"/>
    </xf>
    <xf numFmtId="0" fontId="8" fillId="0" borderId="10" xfId="2" applyBorder="1" applyAlignment="1">
      <alignment horizontal="center"/>
    </xf>
    <xf numFmtId="0" fontId="8" fillId="0" borderId="11" xfId="2" applyBorder="1" applyAlignment="1">
      <alignment horizontal="center"/>
    </xf>
    <xf numFmtId="0" fontId="8" fillId="0" borderId="12" xfId="2" applyBorder="1" applyAlignment="1">
      <alignment horizontal="center"/>
    </xf>
    <xf numFmtId="0" fontId="8" fillId="0" borderId="2" xfId="2" applyBorder="1" applyAlignment="1">
      <alignment horizontal="center"/>
    </xf>
    <xf numFmtId="0" fontId="8" fillId="0" borderId="4" xfId="2" applyBorder="1" applyAlignment="1">
      <alignment horizontal="center"/>
    </xf>
    <xf numFmtId="0" fontId="8" fillId="0" borderId="3" xfId="2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8" fillId="11" borderId="0" xfId="2" applyFill="1" applyAlignment="1">
      <alignment horizontal="left"/>
    </xf>
    <xf numFmtId="0" fontId="2" fillId="0" borderId="1" xfId="2" applyFont="1" applyBorder="1" applyAlignment="1">
      <alignment horizontal="left"/>
    </xf>
    <xf numFmtId="0" fontId="8" fillId="2" borderId="0" xfId="2" applyFill="1" applyAlignment="1">
      <alignment horizontal="left"/>
    </xf>
    <xf numFmtId="0" fontId="8" fillId="7" borderId="0" xfId="2" applyFill="1" applyAlignment="1">
      <alignment horizontal="left"/>
    </xf>
    <xf numFmtId="0" fontId="8" fillId="8" borderId="0" xfId="2" applyFill="1" applyAlignment="1">
      <alignment horizontal="left"/>
    </xf>
    <xf numFmtId="0" fontId="8" fillId="9" borderId="0" xfId="2" applyFill="1" applyAlignment="1">
      <alignment horizontal="left"/>
    </xf>
    <xf numFmtId="0" fontId="8" fillId="10" borderId="0" xfId="2" applyFill="1" applyAlignment="1">
      <alignment horizontal="left"/>
    </xf>
    <xf numFmtId="0" fontId="2" fillId="13" borderId="2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8" fontId="0" fillId="2" borderId="1" xfId="0" applyNumberFormat="1" applyFill="1" applyBorder="1" applyProtection="1"/>
  </cellXfs>
  <cellStyles count="6">
    <cellStyle name="Comma" xfId="1" builtinId="3"/>
    <cellStyle name="Comma [0]" xfId="5" builtinId="6"/>
    <cellStyle name="Comma 2" xfId="4" xr:uid="{280E3193-6D31-4710-985E-CDD0A39E4015}"/>
    <cellStyle name="Normal" xfId="0" builtinId="0"/>
    <cellStyle name="Normal 2" xfId="2" xr:uid="{CC476290-1935-4980-A0DC-C5A5C2E1B3B7}"/>
    <cellStyle name="Normal 2 2" xfId="3" xr:uid="{CE499CBF-45DF-443E-A15C-CD9825E0B0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447997</xdr:colOff>
      <xdr:row>1</xdr:row>
      <xdr:rowOff>118260</xdr:rowOff>
    </xdr:from>
    <xdr:to>
      <xdr:col>7</xdr:col>
      <xdr:colOff>401772</xdr:colOff>
      <xdr:row>3</xdr:row>
      <xdr:rowOff>135550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80679F-4048-4273-B280-B30AA56DF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547" y="365910"/>
          <a:ext cx="1782575" cy="398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18</xdr:row>
      <xdr:rowOff>9526</xdr:rowOff>
    </xdr:from>
    <xdr:to>
      <xdr:col>9</xdr:col>
      <xdr:colOff>1133475</xdr:colOff>
      <xdr:row>21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7D1883-4F12-4BB2-951E-BCBF5D91BFB0}"/>
            </a:ext>
          </a:extLst>
        </xdr:cNvPr>
        <xdr:cNvSpPr txBox="1"/>
      </xdr:nvSpPr>
      <xdr:spPr>
        <a:xfrm>
          <a:off x="2828925" y="3771901"/>
          <a:ext cx="7772400" cy="1371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Ketentuan</a:t>
          </a:r>
          <a:r>
            <a:rPr lang="en-US" sz="1100" b="1" baseline="0"/>
            <a:t> : </a:t>
          </a:r>
        </a:p>
        <a:p>
          <a:r>
            <a:rPr lang="en-US" sz="1100"/>
            <a:t>1. Tunjangan</a:t>
          </a:r>
          <a:r>
            <a:rPr lang="en-US" sz="1100" baseline="0"/>
            <a:t> Kesehatan = 7% dari Gaji Pokok</a:t>
          </a:r>
        </a:p>
        <a:p>
          <a:r>
            <a:rPr lang="en-US" sz="1100" baseline="0"/>
            <a:t>2. Tunjangan Perumahan = 20% dari Gaji Pokok</a:t>
          </a:r>
        </a:p>
        <a:p>
          <a:r>
            <a:rPr lang="en-US" sz="1100" baseline="0"/>
            <a:t>3. Tunjangan Transportasi = Jumlah Hadir x Rp5000</a:t>
          </a:r>
        </a:p>
        <a:p>
          <a:r>
            <a:rPr lang="en-US" sz="1100" baseline="0"/>
            <a:t>4. Tagihan = hutang karyawan kepada kantor</a:t>
          </a:r>
        </a:p>
        <a:p>
          <a:r>
            <a:rPr lang="en-US" sz="1100" baseline="0"/>
            <a:t>5. Gaji Kotor = Gaji Pokok + Tunjangan Kesehatan + Tunjangan Perumahan + Tunjangan Transportasi</a:t>
          </a:r>
        </a:p>
        <a:p>
          <a:r>
            <a:rPr lang="en-US" sz="1100" baseline="0"/>
            <a:t>6. Gaji Bersih = Gaji Kotor - Tagihan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18</xdr:row>
      <xdr:rowOff>9526</xdr:rowOff>
    </xdr:from>
    <xdr:to>
      <xdr:col>9</xdr:col>
      <xdr:colOff>1133475</xdr:colOff>
      <xdr:row>21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C5D26A-D8D2-48E8-8FCB-F347A70E359D}"/>
            </a:ext>
          </a:extLst>
        </xdr:cNvPr>
        <xdr:cNvSpPr txBox="1"/>
      </xdr:nvSpPr>
      <xdr:spPr>
        <a:xfrm>
          <a:off x="2590800" y="3914776"/>
          <a:ext cx="7419975" cy="1371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Ketentuan</a:t>
          </a:r>
          <a:r>
            <a:rPr lang="en-US" sz="1100" b="1" baseline="0"/>
            <a:t> : </a:t>
          </a:r>
        </a:p>
        <a:p>
          <a:r>
            <a:rPr lang="en-US" sz="1100"/>
            <a:t>1. Tunjangan</a:t>
          </a:r>
          <a:r>
            <a:rPr lang="en-US" sz="1100" baseline="0"/>
            <a:t> Kesehatan = 7% dari Gaji Pokok</a:t>
          </a:r>
        </a:p>
        <a:p>
          <a:r>
            <a:rPr lang="en-US" sz="1100" baseline="0"/>
            <a:t>2. Tunjangan Perumahan = 20% dari Gaji Pokok</a:t>
          </a:r>
        </a:p>
        <a:p>
          <a:r>
            <a:rPr lang="en-US" sz="1100" baseline="0"/>
            <a:t>3. Tunjangan Transportasi = Jumlah Hadir x Rp5000</a:t>
          </a:r>
        </a:p>
        <a:p>
          <a:r>
            <a:rPr lang="en-US" sz="1100" baseline="0"/>
            <a:t>4. Tagihan = hutang karyawan kepada kantor</a:t>
          </a:r>
        </a:p>
        <a:p>
          <a:r>
            <a:rPr lang="en-US" sz="1100" baseline="0"/>
            <a:t>5. Gaji Kotor = Gaji Pokok + Tunjangan Kesehatan + Tunjangan Perumahan + Tunjangan Transportasi</a:t>
          </a:r>
        </a:p>
        <a:p>
          <a:r>
            <a:rPr lang="en-US" sz="1100" baseline="0"/>
            <a:t>6. Gaji Bersih = Gaji Kotor - Tagihan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18</xdr:row>
      <xdr:rowOff>9526</xdr:rowOff>
    </xdr:from>
    <xdr:to>
      <xdr:col>9</xdr:col>
      <xdr:colOff>1133475</xdr:colOff>
      <xdr:row>21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17736A-5476-4E51-8979-48E14EF1575E}"/>
            </a:ext>
          </a:extLst>
        </xdr:cNvPr>
        <xdr:cNvSpPr txBox="1"/>
      </xdr:nvSpPr>
      <xdr:spPr>
        <a:xfrm>
          <a:off x="2590800" y="3914776"/>
          <a:ext cx="7419975" cy="1371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Ketentuan</a:t>
          </a:r>
          <a:r>
            <a:rPr lang="en-US" sz="1100" b="1" baseline="0"/>
            <a:t> : </a:t>
          </a:r>
        </a:p>
        <a:p>
          <a:r>
            <a:rPr lang="en-US" sz="1100"/>
            <a:t>1. Tunjangan</a:t>
          </a:r>
          <a:r>
            <a:rPr lang="en-US" sz="1100" baseline="0"/>
            <a:t> Kesehatan = 7% dari Gaji Pokok</a:t>
          </a:r>
        </a:p>
        <a:p>
          <a:r>
            <a:rPr lang="en-US" sz="1100" baseline="0"/>
            <a:t>2. Tunjangan Perumahan = 20% dari Gaji Pokok</a:t>
          </a:r>
        </a:p>
        <a:p>
          <a:r>
            <a:rPr lang="en-US" sz="1100" baseline="0"/>
            <a:t>3. Tunjangan Transportasi = Jumlah Hadir x Rp5000</a:t>
          </a:r>
        </a:p>
        <a:p>
          <a:r>
            <a:rPr lang="en-US" sz="1100" baseline="0"/>
            <a:t>4. Tagihan = hutang karyawan kepada kantor</a:t>
          </a:r>
        </a:p>
        <a:p>
          <a:r>
            <a:rPr lang="en-US" sz="1100" baseline="0"/>
            <a:t>5. Gaji Kotor = Gaji Pokok + Tunjangan Kesehatan + Tunjangan Perumahan + Tunjangan Transportasi</a:t>
          </a:r>
        </a:p>
        <a:p>
          <a:r>
            <a:rPr lang="en-US" sz="1100" baseline="0"/>
            <a:t>6. Gaji Bersih = Gaji Kotor - Tagihan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38101</xdr:rowOff>
    </xdr:from>
    <xdr:to>
      <xdr:col>8</xdr:col>
      <xdr:colOff>523875</xdr:colOff>
      <xdr:row>3</xdr:row>
      <xdr:rowOff>188367</xdr:rowOff>
    </xdr:to>
    <xdr:pic>
      <xdr:nvPicPr>
        <xdr:cNvPr id="2" name="Picture 1" descr="C:\Program Files\Microsoft Office\MEDIA\CAGCAT10\j0212957.wmf">
          <a:extLst>
            <a:ext uri="{FF2B5EF4-FFF2-40B4-BE49-F238E27FC236}">
              <a16:creationId xmlns:a16="http://schemas.microsoft.com/office/drawing/2014/main" id="{126213D8-5F39-4D0C-B8BD-EE00A3DC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62600" y="38101"/>
          <a:ext cx="1190625" cy="750341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36</xdr:row>
      <xdr:rowOff>0</xdr:rowOff>
    </xdr:from>
    <xdr:to>
      <xdr:col>9</xdr:col>
      <xdr:colOff>257175</xdr:colOff>
      <xdr:row>45</xdr:row>
      <xdr:rowOff>95250</xdr:rowOff>
    </xdr:to>
    <xdr:pic>
      <xdr:nvPicPr>
        <xdr:cNvPr id="2" name="Picture 1" descr="C:\Program Files\Microsoft Office\MEDIA\CAGCAT10\j0205462.wmf">
          <a:extLst>
            <a:ext uri="{FF2B5EF4-FFF2-40B4-BE49-F238E27FC236}">
              <a16:creationId xmlns:a16="http://schemas.microsoft.com/office/drawing/2014/main" id="{91D15836-FB59-4559-B060-6DA79495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7458075"/>
          <a:ext cx="1819275" cy="18097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9</xdr:col>
      <xdr:colOff>257175</xdr:colOff>
      <xdr:row>45</xdr:row>
      <xdr:rowOff>95250</xdr:rowOff>
    </xdr:to>
    <xdr:pic>
      <xdr:nvPicPr>
        <xdr:cNvPr id="3" name="Picture 2" descr="C:\Program Files\Microsoft Office\MEDIA\CAGCAT10\j0205462.wmf">
          <a:extLst>
            <a:ext uri="{FF2B5EF4-FFF2-40B4-BE49-F238E27FC236}">
              <a16:creationId xmlns:a16="http://schemas.microsoft.com/office/drawing/2014/main" id="{40D4604F-999D-409E-BDCC-35AE208B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7458075"/>
          <a:ext cx="1819275" cy="18097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9</xdr:col>
      <xdr:colOff>257175</xdr:colOff>
      <xdr:row>45</xdr:row>
      <xdr:rowOff>95250</xdr:rowOff>
    </xdr:to>
    <xdr:pic>
      <xdr:nvPicPr>
        <xdr:cNvPr id="4" name="Picture 3" descr="C:\Program Files\Microsoft Office\MEDIA\CAGCAT10\j0205462.wmf">
          <a:extLst>
            <a:ext uri="{FF2B5EF4-FFF2-40B4-BE49-F238E27FC236}">
              <a16:creationId xmlns:a16="http://schemas.microsoft.com/office/drawing/2014/main" id="{878C5E47-8525-4697-ACAB-E9BF0C39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7458075"/>
          <a:ext cx="1819275" cy="18097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495301</xdr:colOff>
      <xdr:row>0</xdr:row>
      <xdr:rowOff>38100</xdr:rowOff>
    </xdr:from>
    <xdr:to>
      <xdr:col>8</xdr:col>
      <xdr:colOff>647701</xdr:colOff>
      <xdr:row>4</xdr:row>
      <xdr:rowOff>71811</xdr:rowOff>
    </xdr:to>
    <xdr:pic>
      <xdr:nvPicPr>
        <xdr:cNvPr id="5" name="Picture 4" descr="C:\Program Files\Microsoft Office\MEDIA\CAGCAT10\j0205462.wmf">
          <a:extLst>
            <a:ext uri="{FF2B5EF4-FFF2-40B4-BE49-F238E27FC236}">
              <a16:creationId xmlns:a16="http://schemas.microsoft.com/office/drawing/2014/main" id="{04E083D6-E237-4E3A-9782-27C47483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67376" y="38100"/>
          <a:ext cx="838200" cy="833811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38101</xdr:rowOff>
    </xdr:from>
    <xdr:to>
      <xdr:col>8</xdr:col>
      <xdr:colOff>390524</xdr:colOff>
      <xdr:row>3</xdr:row>
      <xdr:rowOff>188367</xdr:rowOff>
    </xdr:to>
    <xdr:pic>
      <xdr:nvPicPr>
        <xdr:cNvPr id="2" name="Picture 1" descr="C:\Program Files\Microsoft Office\MEDIA\CAGCAT10\j0212957.wmf">
          <a:extLst>
            <a:ext uri="{FF2B5EF4-FFF2-40B4-BE49-F238E27FC236}">
              <a16:creationId xmlns:a16="http://schemas.microsoft.com/office/drawing/2014/main" id="{67258B0C-6074-47DA-8833-19C8AFA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8101"/>
          <a:ext cx="1190624" cy="750341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38101</xdr:rowOff>
    </xdr:from>
    <xdr:to>
      <xdr:col>8</xdr:col>
      <xdr:colOff>666750</xdr:colOff>
      <xdr:row>3</xdr:row>
      <xdr:rowOff>188367</xdr:rowOff>
    </xdr:to>
    <xdr:pic>
      <xdr:nvPicPr>
        <xdr:cNvPr id="2" name="Picture 1" descr="C:\Program Files\Microsoft Office\MEDIA\CAGCAT10\j0212957.wmf">
          <a:extLst>
            <a:ext uri="{FF2B5EF4-FFF2-40B4-BE49-F238E27FC236}">
              <a16:creationId xmlns:a16="http://schemas.microsoft.com/office/drawing/2014/main" id="{508B425C-EF3B-4F2E-AE7F-8049BA53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5425" y="38101"/>
          <a:ext cx="1190625" cy="75034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MBEL%20CIPTA%20CENDEKIA/PERSIAPAN%20UJIAN%20PERANGKAT%20DESA/Praktik%20Komputer/latihan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all"/>
      <sheetName val="kunci jawaban"/>
      <sheetName val="lembar kerja"/>
      <sheetName val="kunci jawaban (2)"/>
    </sheetNames>
    <sheetDataSet>
      <sheetData sheetId="0">
        <row r="27">
          <cell r="B27" t="str">
            <v>KODE JABATAN</v>
          </cell>
          <cell r="C27" t="str">
            <v>JABATAN</v>
          </cell>
          <cell r="E27" t="str">
            <v>KODE</v>
          </cell>
          <cell r="F27" t="str">
            <v>B</v>
          </cell>
          <cell r="G27" t="str">
            <v>S</v>
          </cell>
        </row>
        <row r="28">
          <cell r="B28">
            <v>1111</v>
          </cell>
          <cell r="C28" t="str">
            <v>Karyawan</v>
          </cell>
          <cell r="E28" t="str">
            <v>STATUS</v>
          </cell>
          <cell r="F28" t="str">
            <v>Belum Kawin</v>
          </cell>
          <cell r="G28" t="str">
            <v>Kawin</v>
          </cell>
        </row>
        <row r="29">
          <cell r="B29">
            <v>1221</v>
          </cell>
          <cell r="C29" t="str">
            <v>Supervisor</v>
          </cell>
        </row>
        <row r="30">
          <cell r="B30">
            <v>1331</v>
          </cell>
          <cell r="C30" t="str">
            <v>Asisten Manager</v>
          </cell>
          <cell r="E30" t="str">
            <v>KODE</v>
          </cell>
          <cell r="F30" t="str">
            <v>L</v>
          </cell>
          <cell r="G30" t="str">
            <v>P</v>
          </cell>
        </row>
        <row r="31">
          <cell r="B31">
            <v>1441</v>
          </cell>
          <cell r="C31" t="str">
            <v>Manager</v>
          </cell>
          <cell r="E31" t="str">
            <v>KELAMIN</v>
          </cell>
          <cell r="F31" t="str">
            <v>Laki-Laki</v>
          </cell>
          <cell r="G31" t="str">
            <v>Perempuan</v>
          </cell>
        </row>
        <row r="33">
          <cell r="B33" t="str">
            <v>JABATAN</v>
          </cell>
          <cell r="C33" t="str">
            <v>GAJI POKOK</v>
          </cell>
        </row>
        <row r="34">
          <cell r="B34" t="str">
            <v>Manager</v>
          </cell>
          <cell r="C34">
            <v>9000000</v>
          </cell>
        </row>
        <row r="35">
          <cell r="B35" t="str">
            <v>Asisten Manager</v>
          </cell>
          <cell r="C35">
            <v>7500000</v>
          </cell>
        </row>
        <row r="36">
          <cell r="B36" t="str">
            <v>Supervisor</v>
          </cell>
          <cell r="C36">
            <v>5000000</v>
          </cell>
        </row>
        <row r="37">
          <cell r="B37" t="str">
            <v>Karyawan</v>
          </cell>
          <cell r="C37">
            <v>3500000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zoomScale="150" zoomScaleNormal="150" workbookViewId="0">
      <selection activeCell="B8" sqref="B8:H8"/>
    </sheetView>
  </sheetViews>
  <sheetFormatPr defaultRowHeight="15" x14ac:dyDescent="0.25"/>
  <cols>
    <col min="1" max="1" width="10" customWidth="1"/>
    <col min="8" max="8" width="40.85546875" customWidth="1"/>
  </cols>
  <sheetData>
    <row r="1" spans="1:16" ht="20.100000000000001" customHeight="1" x14ac:dyDescent="0.25">
      <c r="A1" s="11"/>
      <c r="B1" s="110" t="s">
        <v>28</v>
      </c>
      <c r="C1" s="110"/>
      <c r="D1" s="110"/>
      <c r="E1" s="110"/>
      <c r="F1" s="110"/>
      <c r="G1" s="110"/>
      <c r="H1" s="110"/>
      <c r="I1" s="11"/>
      <c r="J1" s="11"/>
      <c r="K1" s="11"/>
      <c r="L1" s="11"/>
      <c r="M1" s="11"/>
      <c r="N1" s="11"/>
      <c r="O1" s="11"/>
      <c r="P1" s="11"/>
    </row>
    <row r="2" spans="1:1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x14ac:dyDescent="0.25">
      <c r="A5" s="11"/>
      <c r="B5" s="112" t="s">
        <v>294</v>
      </c>
      <c r="C5" s="112"/>
      <c r="D5" s="112"/>
      <c r="E5" s="112"/>
      <c r="F5" s="112"/>
      <c r="G5" s="112"/>
      <c r="H5" s="112"/>
      <c r="I5" s="11"/>
      <c r="J5" s="11"/>
      <c r="K5" s="11"/>
      <c r="L5" s="11"/>
      <c r="M5" s="11"/>
      <c r="N5" s="11"/>
      <c r="O5" s="11"/>
      <c r="P5" s="11"/>
    </row>
    <row r="6" spans="1:16" ht="26.25" customHeight="1" x14ac:dyDescent="0.25">
      <c r="A6" s="11"/>
      <c r="B6" s="113" t="s">
        <v>295</v>
      </c>
      <c r="C6" s="113"/>
      <c r="D6" s="113"/>
      <c r="E6" s="113"/>
      <c r="F6" s="113"/>
      <c r="G6" s="113"/>
      <c r="H6" s="113"/>
      <c r="I6" s="11"/>
      <c r="J6" s="11"/>
      <c r="K6" s="11"/>
      <c r="L6" s="11"/>
      <c r="M6" s="11"/>
      <c r="N6" s="11"/>
      <c r="O6" s="11"/>
      <c r="P6" s="11"/>
    </row>
    <row r="7" spans="1:16" x14ac:dyDescent="0.25">
      <c r="A7" s="11"/>
      <c r="B7" s="112" t="s">
        <v>297</v>
      </c>
      <c r="C7" s="112"/>
      <c r="D7" s="112"/>
      <c r="E7" s="112"/>
      <c r="F7" s="112"/>
      <c r="G7" s="112"/>
      <c r="H7" s="112"/>
      <c r="I7" s="11"/>
      <c r="J7" s="11"/>
      <c r="K7" s="11"/>
      <c r="L7" s="11"/>
      <c r="M7" s="11"/>
      <c r="N7" s="11"/>
      <c r="O7" s="11"/>
      <c r="P7" s="11"/>
    </row>
    <row r="8" spans="1:16" ht="30" customHeight="1" x14ac:dyDescent="0.25">
      <c r="A8" s="11"/>
      <c r="B8" s="111" t="s">
        <v>31</v>
      </c>
      <c r="C8" s="111"/>
      <c r="D8" s="111"/>
      <c r="E8" s="111"/>
      <c r="F8" s="111"/>
      <c r="G8" s="111"/>
      <c r="H8" s="111"/>
      <c r="I8" s="11"/>
      <c r="J8" s="11"/>
      <c r="K8" s="11"/>
      <c r="L8" s="11"/>
      <c r="M8" s="11"/>
      <c r="N8" s="11"/>
      <c r="O8" s="11"/>
      <c r="P8" s="11"/>
    </row>
    <row r="9" spans="1:16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11"/>
      <c r="B11" s="11"/>
      <c r="C11" s="11"/>
      <c r="D11" s="11"/>
      <c r="E11" s="11"/>
      <c r="F11" s="11"/>
      <c r="G11" s="11" t="s">
        <v>29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11"/>
      <c r="B13" s="11"/>
      <c r="C13" s="11"/>
      <c r="D13" s="11"/>
      <c r="E13" s="11"/>
      <c r="F13" s="11"/>
      <c r="G13" s="11" t="s">
        <v>30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5">
    <mergeCell ref="B1:H1"/>
    <mergeCell ref="B8:H8"/>
    <mergeCell ref="B7:H7"/>
    <mergeCell ref="B6:H6"/>
    <mergeCell ref="B5:H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851A5-4777-421B-8DED-E1CA04758D81}">
  <dimension ref="A1:I49"/>
  <sheetViews>
    <sheetView topLeftCell="A10" zoomScaleNormal="100" workbookViewId="0">
      <selection activeCell="K48" sqref="K48"/>
    </sheetView>
  </sheetViews>
  <sheetFormatPr defaultRowHeight="15" x14ac:dyDescent="0.25"/>
  <cols>
    <col min="1" max="1" width="5.42578125" customWidth="1"/>
    <col min="2" max="2" width="15.28515625" customWidth="1"/>
    <col min="3" max="3" width="9.5703125" customWidth="1"/>
    <col min="4" max="4" width="8.85546875" customWidth="1"/>
    <col min="5" max="5" width="11.28515625" customWidth="1"/>
    <col min="6" max="6" width="12.140625" customWidth="1"/>
    <col min="7" max="7" width="14.5703125" customWidth="1"/>
    <col min="8" max="8" width="11" customWidth="1"/>
    <col min="9" max="9" width="13" bestFit="1" customWidth="1"/>
  </cols>
  <sheetData>
    <row r="1" spans="1:9" x14ac:dyDescent="0.25">
      <c r="A1">
        <v>12345678</v>
      </c>
      <c r="G1" t="s">
        <v>30</v>
      </c>
    </row>
    <row r="3" spans="1:9" x14ac:dyDescent="0.25">
      <c r="A3" s="135" t="s">
        <v>246</v>
      </c>
      <c r="B3" s="135"/>
      <c r="C3" s="135"/>
      <c r="D3" s="135"/>
      <c r="E3" s="135"/>
      <c r="F3" s="135"/>
      <c r="G3" s="135"/>
      <c r="H3" s="135"/>
      <c r="I3" s="135"/>
    </row>
    <row r="4" spans="1:9" x14ac:dyDescent="0.25">
      <c r="A4" s="135" t="s">
        <v>247</v>
      </c>
      <c r="B4" s="135"/>
      <c r="C4" s="135"/>
      <c r="D4" s="135"/>
      <c r="E4" s="135"/>
      <c r="F4" s="135"/>
      <c r="G4" s="135"/>
      <c r="H4" s="135"/>
      <c r="I4" s="135"/>
    </row>
    <row r="5" spans="1:9" x14ac:dyDescent="0.25">
      <c r="A5" s="136" t="s">
        <v>248</v>
      </c>
      <c r="B5" s="136"/>
      <c r="C5" s="136"/>
      <c r="D5" s="136"/>
      <c r="E5" s="136"/>
      <c r="F5" s="136"/>
      <c r="G5" s="136"/>
      <c r="H5" s="136"/>
      <c r="I5" s="136"/>
    </row>
    <row r="6" spans="1:9" x14ac:dyDescent="0.25">
      <c r="A6" s="136" t="s">
        <v>249</v>
      </c>
      <c r="B6" s="136"/>
      <c r="C6" s="136"/>
      <c r="D6" s="136"/>
      <c r="E6" s="136"/>
      <c r="F6" s="136"/>
      <c r="G6" s="136"/>
      <c r="H6" s="136"/>
      <c r="I6" s="136"/>
    </row>
    <row r="7" spans="1:9" ht="16.5" thickBot="1" x14ac:dyDescent="0.3">
      <c r="A7" s="160" t="s">
        <v>250</v>
      </c>
      <c r="B7" s="160"/>
      <c r="C7" s="160"/>
      <c r="D7" s="160"/>
      <c r="E7" s="160"/>
      <c r="F7" s="160"/>
      <c r="G7" s="160"/>
      <c r="H7" s="160"/>
      <c r="I7" s="160"/>
    </row>
    <row r="8" spans="1:9" ht="15.75" thickTop="1" x14ac:dyDescent="0.25">
      <c r="A8" s="56"/>
      <c r="B8" s="56"/>
      <c r="C8" s="56"/>
      <c r="D8" s="56"/>
      <c r="E8" s="56"/>
      <c r="F8" s="56"/>
      <c r="G8" s="56"/>
      <c r="H8" s="56"/>
      <c r="I8" s="56"/>
    </row>
    <row r="9" spans="1:9" ht="15.75" x14ac:dyDescent="0.25">
      <c r="A9" s="134" t="s">
        <v>251</v>
      </c>
      <c r="B9" s="134"/>
      <c r="C9" s="134"/>
      <c r="D9" s="134"/>
      <c r="E9" s="134"/>
      <c r="F9" s="134"/>
      <c r="G9" s="134"/>
      <c r="H9" s="134"/>
      <c r="I9" s="134"/>
    </row>
    <row r="10" spans="1:9" ht="15.75" x14ac:dyDescent="0.25">
      <c r="A10" s="134" t="s">
        <v>252</v>
      </c>
      <c r="B10" s="134"/>
      <c r="C10" s="134"/>
      <c r="D10" s="134"/>
      <c r="E10" s="134"/>
      <c r="F10" s="134"/>
      <c r="G10" s="134"/>
      <c r="H10" s="134"/>
      <c r="I10" s="134"/>
    </row>
    <row r="11" spans="1:9" ht="15.75" x14ac:dyDescent="0.25">
      <c r="A11" s="134"/>
      <c r="B11" s="134"/>
      <c r="C11" s="134"/>
      <c r="D11" s="134"/>
      <c r="E11" s="134"/>
      <c r="F11" s="134"/>
      <c r="G11" s="134"/>
      <c r="H11" s="134"/>
      <c r="I11" s="134"/>
    </row>
    <row r="12" spans="1:9" x14ac:dyDescent="0.25">
      <c r="A12" s="56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56"/>
      <c r="B13" s="56"/>
      <c r="C13" s="56"/>
      <c r="D13" s="56"/>
      <c r="E13" s="56"/>
      <c r="F13" s="56"/>
      <c r="G13" s="56"/>
      <c r="H13" s="56"/>
      <c r="I13" s="56"/>
    </row>
    <row r="14" spans="1:9" ht="15.75" x14ac:dyDescent="0.25">
      <c r="A14" s="58" t="s">
        <v>253</v>
      </c>
      <c r="B14" s="56"/>
      <c r="C14" s="56"/>
      <c r="D14" s="56"/>
      <c r="E14" s="56"/>
      <c r="F14" s="56"/>
      <c r="G14" s="56"/>
      <c r="H14" s="56"/>
      <c r="I14" s="56"/>
    </row>
    <row r="15" spans="1:9" ht="15.75" x14ac:dyDescent="0.25">
      <c r="A15" s="58" t="s">
        <v>254</v>
      </c>
      <c r="B15" s="56"/>
      <c r="C15" s="56"/>
      <c r="D15" s="56"/>
      <c r="E15" s="56"/>
      <c r="F15" s="56"/>
      <c r="G15" s="56"/>
      <c r="H15" s="56"/>
      <c r="I15" s="56"/>
    </row>
    <row r="16" spans="1:9" ht="15.75" x14ac:dyDescent="0.25">
      <c r="A16" s="58" t="s">
        <v>255</v>
      </c>
      <c r="B16" s="56"/>
      <c r="C16" s="56"/>
      <c r="D16" s="56"/>
      <c r="E16" s="56"/>
      <c r="F16" s="56"/>
      <c r="G16" s="56"/>
      <c r="H16" s="56"/>
      <c r="I16" s="56"/>
    </row>
    <row r="17" spans="1:9" ht="15.75" x14ac:dyDescent="0.25">
      <c r="A17" s="58" t="s">
        <v>256</v>
      </c>
      <c r="B17" s="56"/>
      <c r="C17" s="56"/>
      <c r="D17" s="56"/>
      <c r="E17" s="56"/>
      <c r="F17" s="56"/>
      <c r="G17" s="56"/>
      <c r="H17" s="56"/>
      <c r="I17" s="56"/>
    </row>
    <row r="18" spans="1:9" ht="15.75" x14ac:dyDescent="0.25">
      <c r="A18" s="58" t="s">
        <v>257</v>
      </c>
      <c r="B18" s="56"/>
      <c r="C18" s="56"/>
      <c r="D18" s="56"/>
      <c r="E18" s="56"/>
      <c r="F18" s="56"/>
      <c r="G18" s="56"/>
      <c r="H18" s="56"/>
      <c r="I18" s="56"/>
    </row>
    <row r="19" spans="1:9" ht="15.75" x14ac:dyDescent="0.25">
      <c r="A19" s="58"/>
      <c r="B19" s="56"/>
      <c r="C19" s="56"/>
      <c r="D19" s="56"/>
      <c r="E19" s="56"/>
      <c r="F19" s="56"/>
      <c r="G19" s="56"/>
      <c r="H19" s="56"/>
      <c r="I19" s="56"/>
    </row>
    <row r="20" spans="1:9" x14ac:dyDescent="0.25">
      <c r="A20" s="59" t="s">
        <v>258</v>
      </c>
      <c r="B20" s="56"/>
      <c r="C20" s="56"/>
      <c r="D20" s="56"/>
      <c r="E20" s="56"/>
      <c r="F20" s="56"/>
      <c r="G20" s="59" t="s">
        <v>259</v>
      </c>
      <c r="H20" s="56"/>
      <c r="I20" s="56"/>
    </row>
    <row r="21" spans="1:9" ht="15.75" x14ac:dyDescent="0.25">
      <c r="A21" s="58"/>
      <c r="B21" s="56"/>
      <c r="C21" s="56"/>
      <c r="D21" s="56"/>
      <c r="E21" s="56"/>
      <c r="F21" s="56"/>
      <c r="G21" s="56"/>
      <c r="H21" s="79"/>
      <c r="I21" s="56"/>
    </row>
    <row r="22" spans="1:9" ht="15.75" thickBot="1" x14ac:dyDescent="0.3">
      <c r="A22" s="56"/>
      <c r="B22" s="56"/>
      <c r="C22" s="56"/>
      <c r="D22" s="56"/>
      <c r="E22" s="56"/>
      <c r="F22" s="56"/>
      <c r="G22" s="56"/>
      <c r="H22" s="79"/>
      <c r="I22" s="56"/>
    </row>
    <row r="23" spans="1:9" ht="19.5" thickTop="1" x14ac:dyDescent="0.3">
      <c r="A23" s="58"/>
      <c r="B23" s="144" t="s">
        <v>260</v>
      </c>
      <c r="C23" s="145"/>
      <c r="D23" s="146"/>
      <c r="E23" s="61"/>
      <c r="F23" s="61"/>
      <c r="G23" s="58"/>
      <c r="H23" s="58"/>
      <c r="I23" s="58"/>
    </row>
    <row r="24" spans="1:9" ht="25.5" thickBot="1" x14ac:dyDescent="0.55000000000000004">
      <c r="A24" s="58"/>
      <c r="B24" s="147" t="s">
        <v>261</v>
      </c>
      <c r="C24" s="148"/>
      <c r="D24" s="149"/>
      <c r="E24" s="62"/>
      <c r="F24" s="62"/>
      <c r="G24" s="58"/>
      <c r="H24" s="58"/>
      <c r="I24" s="58"/>
    </row>
    <row r="25" spans="1:9" ht="25.5" thickTop="1" x14ac:dyDescent="0.5">
      <c r="A25" s="58"/>
      <c r="B25" s="62"/>
      <c r="C25" s="62"/>
      <c r="D25" s="62"/>
      <c r="E25" s="62"/>
      <c r="F25" s="62"/>
      <c r="G25" s="58"/>
      <c r="H25" s="58"/>
      <c r="I25" s="58"/>
    </row>
    <row r="26" spans="1:9" ht="20.25" thickBot="1" x14ac:dyDescent="0.45">
      <c r="A26" s="150" t="s">
        <v>262</v>
      </c>
      <c r="B26" s="150"/>
      <c r="C26" s="150"/>
      <c r="D26" s="150"/>
      <c r="E26" s="150"/>
      <c r="F26" s="150"/>
      <c r="G26" s="150"/>
      <c r="H26" s="150"/>
      <c r="I26" s="150"/>
    </row>
    <row r="27" spans="1:9" ht="15.75" thickTop="1" x14ac:dyDescent="0.25">
      <c r="A27" s="156" t="s">
        <v>263</v>
      </c>
      <c r="B27" s="158" t="s">
        <v>264</v>
      </c>
      <c r="C27" s="80" t="s">
        <v>265</v>
      </c>
      <c r="D27" s="80" t="s">
        <v>266</v>
      </c>
      <c r="E27" s="80" t="s">
        <v>265</v>
      </c>
      <c r="F27" s="80" t="s">
        <v>267</v>
      </c>
      <c r="G27" s="80" t="s">
        <v>268</v>
      </c>
      <c r="H27" s="156" t="s">
        <v>269</v>
      </c>
      <c r="I27" s="80" t="s">
        <v>270</v>
      </c>
    </row>
    <row r="28" spans="1:9" x14ac:dyDescent="0.25">
      <c r="A28" s="157"/>
      <c r="B28" s="159"/>
      <c r="C28" s="81" t="s">
        <v>271</v>
      </c>
      <c r="D28" s="81" t="s">
        <v>272</v>
      </c>
      <c r="E28" s="81" t="s">
        <v>273</v>
      </c>
      <c r="F28" s="81" t="s">
        <v>274</v>
      </c>
      <c r="G28" s="81" t="s">
        <v>275</v>
      </c>
      <c r="H28" s="157"/>
      <c r="I28" s="81" t="s">
        <v>276</v>
      </c>
    </row>
    <row r="29" spans="1:9" x14ac:dyDescent="0.25">
      <c r="A29" s="65">
        <v>210</v>
      </c>
      <c r="B29" s="65" t="s">
        <v>277</v>
      </c>
      <c r="C29" s="66" t="s">
        <v>278</v>
      </c>
      <c r="D29" s="66">
        <v>10</v>
      </c>
      <c r="E29" s="66" t="str">
        <f t="shared" ref="E29:E34" si="0">VLOOKUP(C29,$B$46:$D$48,2,FALSE)</f>
        <v>Sedan</v>
      </c>
      <c r="F29" s="67">
        <f t="shared" ref="F29:F34" si="1">VLOOKUP(C29,$B$46:$D$48,3,FALSE)</f>
        <v>200000</v>
      </c>
      <c r="G29" s="68">
        <f t="shared" ref="G29:G34" si="2">D29*F29</f>
        <v>2000000</v>
      </c>
      <c r="H29" s="69">
        <f t="shared" ref="H29:H34" si="3">IF(D29&gt;7,7.5%*G29,0)</f>
        <v>150000</v>
      </c>
      <c r="I29" s="69">
        <f t="shared" ref="I29:I34" si="4">G29-H29</f>
        <v>1850000</v>
      </c>
    </row>
    <row r="30" spans="1:9" x14ac:dyDescent="0.25">
      <c r="A30" s="65">
        <v>211</v>
      </c>
      <c r="B30" s="65" t="s">
        <v>279</v>
      </c>
      <c r="C30" s="66" t="s">
        <v>280</v>
      </c>
      <c r="D30" s="66">
        <v>2</v>
      </c>
      <c r="E30" s="66" t="str">
        <f t="shared" si="0"/>
        <v>Truk</v>
      </c>
      <c r="F30" s="67">
        <f t="shared" si="1"/>
        <v>300000</v>
      </c>
      <c r="G30" s="68">
        <f t="shared" si="2"/>
        <v>600000</v>
      </c>
      <c r="H30" s="69">
        <f t="shared" si="3"/>
        <v>0</v>
      </c>
      <c r="I30" s="69">
        <f t="shared" si="4"/>
        <v>600000</v>
      </c>
    </row>
    <row r="31" spans="1:9" x14ac:dyDescent="0.25">
      <c r="A31" s="65">
        <v>212</v>
      </c>
      <c r="B31" s="65" t="s">
        <v>281</v>
      </c>
      <c r="C31" s="66" t="s">
        <v>280</v>
      </c>
      <c r="D31" s="66">
        <v>8</v>
      </c>
      <c r="E31" s="66" t="str">
        <f t="shared" si="0"/>
        <v>Truk</v>
      </c>
      <c r="F31" s="67">
        <f t="shared" si="1"/>
        <v>300000</v>
      </c>
      <c r="G31" s="68">
        <f t="shared" si="2"/>
        <v>2400000</v>
      </c>
      <c r="H31" s="69">
        <f t="shared" si="3"/>
        <v>180000</v>
      </c>
      <c r="I31" s="69">
        <f t="shared" si="4"/>
        <v>2220000</v>
      </c>
    </row>
    <row r="32" spans="1:9" x14ac:dyDescent="0.25">
      <c r="A32" s="65">
        <v>213</v>
      </c>
      <c r="B32" s="65" t="s">
        <v>282</v>
      </c>
      <c r="C32" s="66" t="s">
        <v>283</v>
      </c>
      <c r="D32" s="66">
        <v>12</v>
      </c>
      <c r="E32" s="66" t="str">
        <f t="shared" si="0"/>
        <v>Mini Bus</v>
      </c>
      <c r="F32" s="67">
        <f t="shared" si="1"/>
        <v>400000</v>
      </c>
      <c r="G32" s="68">
        <f t="shared" si="2"/>
        <v>4800000</v>
      </c>
      <c r="H32" s="69">
        <f t="shared" si="3"/>
        <v>360000</v>
      </c>
      <c r="I32" s="69">
        <f t="shared" si="4"/>
        <v>4440000</v>
      </c>
    </row>
    <row r="33" spans="1:9" x14ac:dyDescent="0.25">
      <c r="A33" s="65">
        <v>214</v>
      </c>
      <c r="B33" s="65" t="s">
        <v>284</v>
      </c>
      <c r="C33" s="66" t="s">
        <v>278</v>
      </c>
      <c r="D33" s="66">
        <v>6</v>
      </c>
      <c r="E33" s="66" t="str">
        <f t="shared" si="0"/>
        <v>Sedan</v>
      </c>
      <c r="F33" s="67">
        <f t="shared" si="1"/>
        <v>200000</v>
      </c>
      <c r="G33" s="68">
        <f t="shared" si="2"/>
        <v>1200000</v>
      </c>
      <c r="H33" s="69">
        <f t="shared" si="3"/>
        <v>0</v>
      </c>
      <c r="I33" s="69">
        <f t="shared" si="4"/>
        <v>1200000</v>
      </c>
    </row>
    <row r="34" spans="1:9" x14ac:dyDescent="0.25">
      <c r="A34" s="65">
        <v>215</v>
      </c>
      <c r="B34" s="65" t="s">
        <v>285</v>
      </c>
      <c r="C34" s="66" t="s">
        <v>283</v>
      </c>
      <c r="D34" s="66">
        <v>4</v>
      </c>
      <c r="E34" s="66" t="str">
        <f t="shared" si="0"/>
        <v>Mini Bus</v>
      </c>
      <c r="F34" s="67">
        <f t="shared" si="1"/>
        <v>400000</v>
      </c>
      <c r="G34" s="68">
        <f t="shared" si="2"/>
        <v>1600000</v>
      </c>
      <c r="H34" s="69">
        <f t="shared" si="3"/>
        <v>0</v>
      </c>
      <c r="I34" s="69">
        <f t="shared" si="4"/>
        <v>1600000</v>
      </c>
    </row>
    <row r="35" spans="1:9" ht="15.75" thickBot="1" x14ac:dyDescent="0.3">
      <c r="A35" s="73"/>
      <c r="B35" s="73"/>
      <c r="C35" s="137" t="s">
        <v>286</v>
      </c>
      <c r="D35" s="138"/>
      <c r="E35" s="139"/>
      <c r="F35" s="86">
        <f>SUM(F29:F34)</f>
        <v>1800000</v>
      </c>
      <c r="G35" s="86">
        <f t="shared" ref="G35:I35" si="5">SUM(G29:G34)</f>
        <v>12600000</v>
      </c>
      <c r="H35" s="86">
        <f t="shared" si="5"/>
        <v>690000</v>
      </c>
      <c r="I35" s="86">
        <f t="shared" si="5"/>
        <v>11910000</v>
      </c>
    </row>
    <row r="36" spans="1:9" ht="16.5" thickTop="1" x14ac:dyDescent="0.25">
      <c r="A36" s="58"/>
      <c r="B36" s="58"/>
      <c r="C36" s="58"/>
      <c r="D36" s="58"/>
      <c r="E36" s="58"/>
      <c r="F36" s="58"/>
      <c r="G36" s="58"/>
      <c r="H36" s="58"/>
      <c r="I36" s="58"/>
    </row>
    <row r="37" spans="1:9" ht="15.75" x14ac:dyDescent="0.25">
      <c r="A37" s="56" t="s">
        <v>117</v>
      </c>
      <c r="B37" s="58"/>
      <c r="C37" s="58"/>
      <c r="D37" s="58"/>
      <c r="E37" s="58"/>
      <c r="F37" s="58"/>
      <c r="G37" s="58"/>
      <c r="H37" s="58"/>
      <c r="I37" s="58"/>
    </row>
    <row r="38" spans="1:9" ht="15.75" x14ac:dyDescent="0.25">
      <c r="A38" s="58" t="s">
        <v>287</v>
      </c>
      <c r="B38" s="58"/>
      <c r="C38" s="58"/>
      <c r="D38" s="58"/>
      <c r="E38" s="58"/>
      <c r="F38" s="58"/>
      <c r="G38" s="58"/>
      <c r="H38" s="58"/>
      <c r="I38" s="58"/>
    </row>
    <row r="39" spans="1:9" ht="15.75" x14ac:dyDescent="0.25">
      <c r="A39" s="58" t="s">
        <v>288</v>
      </c>
      <c r="B39" s="70"/>
      <c r="C39" s="58"/>
      <c r="D39" s="58"/>
      <c r="E39" s="87"/>
      <c r="F39" s="88"/>
      <c r="G39" s="88"/>
      <c r="H39" s="88"/>
      <c r="I39" s="58"/>
    </row>
    <row r="40" spans="1:9" ht="15.75" x14ac:dyDescent="0.25">
      <c r="A40" s="58" t="s">
        <v>289</v>
      </c>
      <c r="B40" s="56"/>
      <c r="C40" s="58"/>
      <c r="D40" s="58"/>
      <c r="E40" s="58"/>
      <c r="F40" s="58"/>
      <c r="G40" s="58"/>
      <c r="H40" s="58"/>
      <c r="I40" s="58"/>
    </row>
    <row r="41" spans="1:9" ht="15.75" x14ac:dyDescent="0.25">
      <c r="A41" s="58" t="s">
        <v>290</v>
      </c>
      <c r="B41" s="58"/>
      <c r="C41" s="58"/>
      <c r="D41" s="58"/>
      <c r="E41" s="58"/>
      <c r="F41" s="58"/>
      <c r="G41" s="58"/>
      <c r="H41" s="58"/>
      <c r="I41" s="58"/>
    </row>
    <row r="42" spans="1:9" ht="15.75" x14ac:dyDescent="0.25">
      <c r="A42" s="58" t="s">
        <v>291</v>
      </c>
      <c r="B42" s="58"/>
      <c r="C42" s="58"/>
      <c r="D42" s="58"/>
      <c r="E42" s="58"/>
      <c r="F42" s="58"/>
      <c r="G42" s="58"/>
      <c r="H42" s="58"/>
      <c r="I42" s="58"/>
    </row>
    <row r="43" spans="1:9" ht="15.75" x14ac:dyDescent="0.25">
      <c r="A43" s="58" t="s">
        <v>292</v>
      </c>
      <c r="B43" s="58"/>
      <c r="C43" s="58"/>
      <c r="D43" s="58"/>
      <c r="E43" s="58"/>
      <c r="F43" s="58"/>
      <c r="G43" s="58"/>
      <c r="H43" s="58"/>
      <c r="I43" s="58"/>
    </row>
    <row r="45" spans="1:9" x14ac:dyDescent="0.25">
      <c r="B45" s="155" t="s">
        <v>188</v>
      </c>
      <c r="C45" s="155"/>
      <c r="D45" s="155"/>
    </row>
    <row r="46" spans="1:9" x14ac:dyDescent="0.25">
      <c r="B46" s="16" t="s">
        <v>278</v>
      </c>
      <c r="C46" s="16" t="s">
        <v>299</v>
      </c>
      <c r="D46" s="16">
        <v>200000</v>
      </c>
    </row>
    <row r="47" spans="1:9" x14ac:dyDescent="0.25">
      <c r="B47" s="16" t="s">
        <v>280</v>
      </c>
      <c r="C47" s="16" t="s">
        <v>300</v>
      </c>
      <c r="D47" s="16">
        <v>300000</v>
      </c>
    </row>
    <row r="48" spans="1:9" x14ac:dyDescent="0.25">
      <c r="B48" s="16" t="s">
        <v>283</v>
      </c>
      <c r="C48" s="16" t="s">
        <v>301</v>
      </c>
      <c r="D48" s="16">
        <v>400000</v>
      </c>
    </row>
    <row r="49" spans="2:4" x14ac:dyDescent="0.25">
      <c r="B49">
        <v>1</v>
      </c>
      <c r="C49">
        <v>2</v>
      </c>
      <c r="D49">
        <v>3</v>
      </c>
    </row>
  </sheetData>
  <mergeCells count="16">
    <mergeCell ref="A9:I9"/>
    <mergeCell ref="A3:I3"/>
    <mergeCell ref="A4:I4"/>
    <mergeCell ref="A5:I5"/>
    <mergeCell ref="A6:I6"/>
    <mergeCell ref="A7:I7"/>
    <mergeCell ref="C35:E35"/>
    <mergeCell ref="B45:D45"/>
    <mergeCell ref="A10:I10"/>
    <mergeCell ref="A11:I11"/>
    <mergeCell ref="B23:D23"/>
    <mergeCell ref="B24:D24"/>
    <mergeCell ref="A26:I26"/>
    <mergeCell ref="A27:A28"/>
    <mergeCell ref="B27:B28"/>
    <mergeCell ref="H27:H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C2538-03B7-43CF-8AA4-0B9BA1C9D589}">
  <dimension ref="A1:K43"/>
  <sheetViews>
    <sheetView topLeftCell="A11" zoomScaleNormal="100" workbookViewId="0">
      <selection activeCell="K36" sqref="K36"/>
    </sheetView>
  </sheetViews>
  <sheetFormatPr defaultRowHeight="15" x14ac:dyDescent="0.25"/>
  <cols>
    <col min="1" max="1" width="5.42578125" customWidth="1"/>
    <col min="2" max="2" width="15.28515625" customWidth="1"/>
    <col min="3" max="3" width="9.5703125" customWidth="1"/>
    <col min="4" max="4" width="8.85546875" customWidth="1"/>
    <col min="5" max="5" width="11.28515625" customWidth="1"/>
    <col min="6" max="6" width="13.85546875" customWidth="1"/>
    <col min="7" max="7" width="14.5703125" customWidth="1"/>
    <col min="8" max="8" width="11" customWidth="1"/>
    <col min="9" max="9" width="14.140625" customWidth="1"/>
  </cols>
  <sheetData>
    <row r="1" spans="1:9" x14ac:dyDescent="0.25">
      <c r="A1">
        <v>12345678</v>
      </c>
      <c r="G1" t="s">
        <v>30</v>
      </c>
    </row>
    <row r="3" spans="1:9" x14ac:dyDescent="0.25">
      <c r="A3" s="135" t="s">
        <v>246</v>
      </c>
      <c r="B3" s="135"/>
      <c r="C3" s="135"/>
      <c r="D3" s="135"/>
      <c r="E3" s="135"/>
      <c r="F3" s="135"/>
      <c r="G3" s="135"/>
      <c r="H3" s="135"/>
      <c r="I3" s="135"/>
    </row>
    <row r="4" spans="1:9" x14ac:dyDescent="0.25">
      <c r="A4" s="135" t="s">
        <v>247</v>
      </c>
      <c r="B4" s="135"/>
      <c r="C4" s="135"/>
      <c r="D4" s="135"/>
      <c r="E4" s="135"/>
      <c r="F4" s="135"/>
      <c r="G4" s="135"/>
      <c r="H4" s="135"/>
      <c r="I4" s="135"/>
    </row>
    <row r="5" spans="1:9" x14ac:dyDescent="0.25">
      <c r="A5" s="136" t="s">
        <v>248</v>
      </c>
      <c r="B5" s="136"/>
      <c r="C5" s="136"/>
      <c r="D5" s="136"/>
      <c r="E5" s="136"/>
      <c r="F5" s="136"/>
      <c r="G5" s="136"/>
      <c r="H5" s="136"/>
      <c r="I5" s="136"/>
    </row>
    <row r="6" spans="1:9" x14ac:dyDescent="0.25">
      <c r="A6" s="136" t="s">
        <v>249</v>
      </c>
      <c r="B6" s="136"/>
      <c r="C6" s="136"/>
      <c r="D6" s="136"/>
      <c r="E6" s="136"/>
      <c r="F6" s="136"/>
      <c r="G6" s="136"/>
      <c r="H6" s="136"/>
      <c r="I6" s="136"/>
    </row>
    <row r="7" spans="1:9" ht="16.5" thickBot="1" x14ac:dyDescent="0.3">
      <c r="A7" s="160" t="s">
        <v>250</v>
      </c>
      <c r="B7" s="160"/>
      <c r="C7" s="160"/>
      <c r="D7" s="160"/>
      <c r="E7" s="160"/>
      <c r="F7" s="160"/>
      <c r="G7" s="160"/>
      <c r="H7" s="160"/>
      <c r="I7" s="160"/>
    </row>
    <row r="8" spans="1:9" ht="15.75" thickTop="1" x14ac:dyDescent="0.25">
      <c r="A8" s="56"/>
      <c r="B8" s="56"/>
      <c r="C8" s="56"/>
      <c r="D8" s="56"/>
      <c r="E8" s="56"/>
      <c r="F8" s="56"/>
      <c r="G8" s="56"/>
      <c r="H8" s="56"/>
      <c r="I8" s="56"/>
    </row>
    <row r="9" spans="1:9" ht="15.75" x14ac:dyDescent="0.25">
      <c r="A9" s="134" t="s">
        <v>251</v>
      </c>
      <c r="B9" s="134"/>
      <c r="C9" s="134"/>
      <c r="D9" s="134"/>
      <c r="E9" s="134"/>
      <c r="F9" s="134"/>
      <c r="G9" s="134"/>
      <c r="H9" s="134"/>
      <c r="I9" s="134"/>
    </row>
    <row r="10" spans="1:9" ht="15.75" x14ac:dyDescent="0.25">
      <c r="A10" s="134" t="s">
        <v>252</v>
      </c>
      <c r="B10" s="134"/>
      <c r="C10" s="134"/>
      <c r="D10" s="134"/>
      <c r="E10" s="134"/>
      <c r="F10" s="134"/>
      <c r="G10" s="134"/>
      <c r="H10" s="134"/>
      <c r="I10" s="134"/>
    </row>
    <row r="11" spans="1:9" ht="15.75" x14ac:dyDescent="0.25">
      <c r="A11" s="134"/>
      <c r="B11" s="134"/>
      <c r="C11" s="134"/>
      <c r="D11" s="134"/>
      <c r="E11" s="134"/>
      <c r="F11" s="134"/>
      <c r="G11" s="134"/>
      <c r="H11" s="134"/>
      <c r="I11" s="134"/>
    </row>
    <row r="12" spans="1:9" x14ac:dyDescent="0.25">
      <c r="A12" s="56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56"/>
      <c r="B13" s="56"/>
      <c r="C13" s="56"/>
      <c r="D13" s="56"/>
      <c r="E13" s="56"/>
      <c r="F13" s="56"/>
      <c r="G13" s="56"/>
      <c r="H13" s="56"/>
      <c r="I13" s="56"/>
    </row>
    <row r="14" spans="1:9" ht="15.75" x14ac:dyDescent="0.25">
      <c r="A14" s="58" t="s">
        <v>253</v>
      </c>
      <c r="B14" s="56"/>
      <c r="C14" s="56"/>
      <c r="D14" s="56"/>
      <c r="E14" s="56"/>
      <c r="F14" s="56"/>
      <c r="G14" s="56"/>
      <c r="H14" s="56"/>
      <c r="I14" s="56"/>
    </row>
    <row r="15" spans="1:9" ht="15.75" x14ac:dyDescent="0.25">
      <c r="A15" s="58" t="s">
        <v>254</v>
      </c>
      <c r="B15" s="56"/>
      <c r="C15" s="56"/>
      <c r="D15" s="56"/>
      <c r="E15" s="56"/>
      <c r="F15" s="56"/>
      <c r="G15" s="56"/>
      <c r="H15" s="56"/>
      <c r="I15" s="56"/>
    </row>
    <row r="16" spans="1:9" ht="15.75" x14ac:dyDescent="0.25">
      <c r="A16" s="58" t="s">
        <v>255</v>
      </c>
      <c r="B16" s="56"/>
      <c r="C16" s="56"/>
      <c r="D16" s="56"/>
      <c r="E16" s="56"/>
      <c r="F16" s="56"/>
      <c r="G16" s="56"/>
      <c r="H16" s="56"/>
      <c r="I16" s="56"/>
    </row>
    <row r="17" spans="1:11" ht="15.75" x14ac:dyDescent="0.25">
      <c r="A17" s="58" t="s">
        <v>256</v>
      </c>
      <c r="B17" s="56"/>
      <c r="C17" s="56"/>
      <c r="D17" s="56"/>
      <c r="E17" s="56"/>
      <c r="F17" s="56"/>
      <c r="G17" s="56"/>
      <c r="H17" s="56"/>
      <c r="I17" s="56"/>
    </row>
    <row r="18" spans="1:11" ht="15.75" x14ac:dyDescent="0.25">
      <c r="A18" s="58" t="s">
        <v>257</v>
      </c>
      <c r="B18" s="56"/>
      <c r="C18" s="56"/>
      <c r="D18" s="56"/>
      <c r="E18" s="56"/>
      <c r="F18" s="56"/>
      <c r="G18" s="56"/>
      <c r="H18" s="56"/>
      <c r="I18" s="56"/>
    </row>
    <row r="19" spans="1:11" ht="15.75" x14ac:dyDescent="0.25">
      <c r="A19" s="58"/>
      <c r="B19" s="56"/>
      <c r="C19" s="56"/>
      <c r="D19" s="56"/>
      <c r="E19" s="56"/>
      <c r="F19" s="56"/>
      <c r="G19" s="56"/>
      <c r="H19" s="56"/>
      <c r="I19" s="56"/>
    </row>
    <row r="20" spans="1:11" x14ac:dyDescent="0.25">
      <c r="A20" s="59" t="s">
        <v>258</v>
      </c>
      <c r="B20" s="56"/>
      <c r="C20" s="56"/>
      <c r="D20" s="56"/>
      <c r="E20" s="56"/>
      <c r="F20" s="56"/>
      <c r="G20" s="59" t="s">
        <v>259</v>
      </c>
      <c r="H20" s="56"/>
      <c r="I20" s="56"/>
    </row>
    <row r="21" spans="1:11" ht="15.75" x14ac:dyDescent="0.25">
      <c r="A21" s="58"/>
      <c r="B21" s="56"/>
      <c r="C21" s="56"/>
      <c r="D21" s="56"/>
      <c r="E21" s="56"/>
      <c r="F21" s="56"/>
      <c r="G21" s="56"/>
      <c r="H21" s="79"/>
      <c r="I21" s="56"/>
    </row>
    <row r="22" spans="1:11" ht="15.75" thickBot="1" x14ac:dyDescent="0.3">
      <c r="A22" s="56"/>
      <c r="B22" s="56"/>
      <c r="C22" s="56"/>
      <c r="D22" s="56"/>
      <c r="E22" s="56"/>
      <c r="F22" s="56"/>
      <c r="G22" s="56"/>
      <c r="H22" s="79"/>
      <c r="I22" s="56"/>
    </row>
    <row r="23" spans="1:11" ht="19.5" thickTop="1" x14ac:dyDescent="0.3">
      <c r="A23" s="58"/>
      <c r="B23" s="144" t="s">
        <v>260</v>
      </c>
      <c r="C23" s="145"/>
      <c r="D23" s="146"/>
      <c r="E23" s="61"/>
      <c r="F23" s="61"/>
      <c r="G23" s="58"/>
      <c r="H23" s="58"/>
      <c r="I23" s="58"/>
    </row>
    <row r="24" spans="1:11" ht="25.5" thickBot="1" x14ac:dyDescent="0.55000000000000004">
      <c r="A24" s="58"/>
      <c r="B24" s="147" t="s">
        <v>261</v>
      </c>
      <c r="C24" s="148"/>
      <c r="D24" s="149"/>
      <c r="E24" s="62"/>
      <c r="F24" s="62"/>
      <c r="G24" s="58"/>
      <c r="H24" s="58"/>
      <c r="I24" s="58"/>
    </row>
    <row r="25" spans="1:11" ht="25.5" thickTop="1" x14ac:dyDescent="0.5">
      <c r="A25" s="58"/>
      <c r="B25" s="62"/>
      <c r="C25" s="62"/>
      <c r="D25" s="62"/>
      <c r="E25" s="62"/>
      <c r="F25" s="62"/>
      <c r="G25" s="58"/>
      <c r="H25" s="58"/>
      <c r="I25" s="58"/>
    </row>
    <row r="26" spans="1:11" ht="20.25" thickBot="1" x14ac:dyDescent="0.45">
      <c r="A26" s="150" t="s">
        <v>262</v>
      </c>
      <c r="B26" s="150"/>
      <c r="C26" s="150"/>
      <c r="D26" s="150"/>
      <c r="E26" s="150"/>
      <c r="F26" s="150"/>
      <c r="G26" s="150"/>
      <c r="H26" s="150"/>
      <c r="I26" s="150"/>
    </row>
    <row r="27" spans="1:11" ht="15.75" thickTop="1" x14ac:dyDescent="0.25">
      <c r="A27" s="156" t="s">
        <v>263</v>
      </c>
      <c r="B27" s="158" t="s">
        <v>264</v>
      </c>
      <c r="C27" s="80" t="s">
        <v>265</v>
      </c>
      <c r="D27" s="80" t="s">
        <v>266</v>
      </c>
      <c r="E27" s="80" t="s">
        <v>265</v>
      </c>
      <c r="F27" s="80" t="s">
        <v>267</v>
      </c>
      <c r="G27" s="80" t="s">
        <v>268</v>
      </c>
      <c r="H27" s="156" t="s">
        <v>269</v>
      </c>
      <c r="I27" s="80" t="s">
        <v>270</v>
      </c>
    </row>
    <row r="28" spans="1:11" x14ac:dyDescent="0.25">
      <c r="A28" s="157"/>
      <c r="B28" s="159"/>
      <c r="C28" s="81" t="s">
        <v>271</v>
      </c>
      <c r="D28" s="81" t="s">
        <v>272</v>
      </c>
      <c r="E28" s="81" t="s">
        <v>273</v>
      </c>
      <c r="F28" s="81" t="s">
        <v>274</v>
      </c>
      <c r="G28" s="81" t="s">
        <v>275</v>
      </c>
      <c r="H28" s="157"/>
      <c r="I28" s="81" t="s">
        <v>276</v>
      </c>
    </row>
    <row r="29" spans="1:11" x14ac:dyDescent="0.25">
      <c r="A29" s="65">
        <v>214</v>
      </c>
      <c r="B29" s="65" t="s">
        <v>277</v>
      </c>
      <c r="C29" s="66" t="s">
        <v>278</v>
      </c>
      <c r="D29" s="66">
        <v>10</v>
      </c>
      <c r="E29" s="66" t="str">
        <f t="shared" ref="E29:E34" si="0">IF(C29="Sd","Sedan",IF(C29="Tr","Truk","Mini Bus"))</f>
        <v>Sedan</v>
      </c>
      <c r="F29" s="82">
        <f t="shared" ref="F29:F34" si="1">IF(E29="Truk",300000,IF(E29="Mini Bus",400000,200000))</f>
        <v>200000</v>
      </c>
      <c r="G29" s="83">
        <f t="shared" ref="G29:G34" si="2">D29*F29</f>
        <v>2000000</v>
      </c>
      <c r="H29" s="84">
        <f t="shared" ref="H29:H34" si="3">IF(D29&gt;7,7.5%*G29,0)</f>
        <v>150000</v>
      </c>
      <c r="I29" s="84">
        <f t="shared" ref="I29:I34" si="4">G29-H29</f>
        <v>1850000</v>
      </c>
      <c r="K29" s="85"/>
    </row>
    <row r="30" spans="1:11" x14ac:dyDescent="0.25">
      <c r="A30" s="65">
        <v>210</v>
      </c>
      <c r="B30" s="65" t="s">
        <v>279</v>
      </c>
      <c r="C30" s="66" t="s">
        <v>280</v>
      </c>
      <c r="D30" s="66">
        <v>2</v>
      </c>
      <c r="E30" s="66" t="str">
        <f t="shared" si="0"/>
        <v>Truk</v>
      </c>
      <c r="F30" s="82">
        <f t="shared" si="1"/>
        <v>300000</v>
      </c>
      <c r="G30" s="83">
        <f t="shared" si="2"/>
        <v>600000</v>
      </c>
      <c r="H30" s="84">
        <f t="shared" si="3"/>
        <v>0</v>
      </c>
      <c r="I30" s="84">
        <f t="shared" si="4"/>
        <v>600000</v>
      </c>
      <c r="K30" s="85"/>
    </row>
    <row r="31" spans="1:11" x14ac:dyDescent="0.25">
      <c r="A31" s="65">
        <v>213</v>
      </c>
      <c r="B31" s="65" t="s">
        <v>281</v>
      </c>
      <c r="C31" s="66" t="s">
        <v>280</v>
      </c>
      <c r="D31" s="66">
        <v>8</v>
      </c>
      <c r="E31" s="66" t="str">
        <f t="shared" si="0"/>
        <v>Truk</v>
      </c>
      <c r="F31" s="82">
        <f t="shared" si="1"/>
        <v>300000</v>
      </c>
      <c r="G31" s="83">
        <f t="shared" si="2"/>
        <v>2400000</v>
      </c>
      <c r="H31" s="84">
        <f t="shared" si="3"/>
        <v>180000</v>
      </c>
      <c r="I31" s="84">
        <f t="shared" si="4"/>
        <v>2220000</v>
      </c>
      <c r="K31" s="85"/>
    </row>
    <row r="32" spans="1:11" x14ac:dyDescent="0.25">
      <c r="A32" s="65">
        <v>215</v>
      </c>
      <c r="B32" s="65" t="s">
        <v>282</v>
      </c>
      <c r="C32" s="66" t="s">
        <v>283</v>
      </c>
      <c r="D32" s="66">
        <v>12</v>
      </c>
      <c r="E32" s="66" t="str">
        <f t="shared" si="0"/>
        <v>Mini Bus</v>
      </c>
      <c r="F32" s="82">
        <f t="shared" si="1"/>
        <v>400000</v>
      </c>
      <c r="G32" s="83">
        <f t="shared" si="2"/>
        <v>4800000</v>
      </c>
      <c r="H32" s="84">
        <f t="shared" si="3"/>
        <v>360000</v>
      </c>
      <c r="I32" s="84">
        <f t="shared" si="4"/>
        <v>4440000</v>
      </c>
      <c r="K32" s="85"/>
    </row>
    <row r="33" spans="1:11" x14ac:dyDescent="0.25">
      <c r="A33" s="65">
        <v>212</v>
      </c>
      <c r="B33" s="65" t="s">
        <v>284</v>
      </c>
      <c r="C33" s="66" t="s">
        <v>278</v>
      </c>
      <c r="D33" s="66">
        <v>6</v>
      </c>
      <c r="E33" s="66" t="str">
        <f t="shared" si="0"/>
        <v>Sedan</v>
      </c>
      <c r="F33" s="82">
        <f t="shared" si="1"/>
        <v>200000</v>
      </c>
      <c r="G33" s="83">
        <f t="shared" si="2"/>
        <v>1200000</v>
      </c>
      <c r="H33" s="84">
        <f t="shared" si="3"/>
        <v>0</v>
      </c>
      <c r="I33" s="84">
        <f t="shared" si="4"/>
        <v>1200000</v>
      </c>
      <c r="K33" s="85"/>
    </row>
    <row r="34" spans="1:11" x14ac:dyDescent="0.25">
      <c r="A34" s="65">
        <v>211</v>
      </c>
      <c r="B34" s="65" t="s">
        <v>285</v>
      </c>
      <c r="C34" s="66" t="s">
        <v>283</v>
      </c>
      <c r="D34" s="66">
        <v>4</v>
      </c>
      <c r="E34" s="66" t="str">
        <f t="shared" si="0"/>
        <v>Mini Bus</v>
      </c>
      <c r="F34" s="82">
        <f t="shared" si="1"/>
        <v>400000</v>
      </c>
      <c r="G34" s="83">
        <f t="shared" si="2"/>
        <v>1600000</v>
      </c>
      <c r="H34" s="84">
        <f t="shared" si="3"/>
        <v>0</v>
      </c>
      <c r="I34" s="84">
        <f t="shared" si="4"/>
        <v>1600000</v>
      </c>
      <c r="K34" s="85"/>
    </row>
    <row r="35" spans="1:11" ht="15.75" thickBot="1" x14ac:dyDescent="0.3">
      <c r="A35" s="73"/>
      <c r="B35" s="73"/>
      <c r="C35" s="137" t="s">
        <v>286</v>
      </c>
      <c r="D35" s="138"/>
      <c r="E35" s="139"/>
      <c r="F35" s="86">
        <f>SUM(F29:F34)</f>
        <v>1800000</v>
      </c>
      <c r="G35" s="86">
        <f>SUM(G29:G34)</f>
        <v>12600000</v>
      </c>
      <c r="H35" s="86">
        <f t="shared" ref="H35:I35" si="5">SUM(H29:H34)</f>
        <v>690000</v>
      </c>
      <c r="I35" s="86">
        <f t="shared" si="5"/>
        <v>11910000</v>
      </c>
    </row>
    <row r="36" spans="1:11" ht="16.5" thickTop="1" x14ac:dyDescent="0.25">
      <c r="A36" s="58"/>
      <c r="B36" s="58"/>
      <c r="C36" s="58"/>
      <c r="D36" s="58"/>
      <c r="E36" s="58"/>
      <c r="F36" s="58"/>
      <c r="G36" s="58"/>
      <c r="H36" s="58"/>
      <c r="I36" s="58"/>
    </row>
    <row r="37" spans="1:11" ht="15.75" x14ac:dyDescent="0.25">
      <c r="A37" s="56" t="s">
        <v>117</v>
      </c>
      <c r="B37" s="58"/>
      <c r="C37" s="58"/>
      <c r="D37" s="58"/>
      <c r="E37" s="58"/>
      <c r="F37" s="58"/>
      <c r="G37" s="58"/>
      <c r="H37" s="58"/>
      <c r="I37" s="58"/>
    </row>
    <row r="38" spans="1:11" ht="15.75" x14ac:dyDescent="0.25">
      <c r="A38" s="58" t="s">
        <v>287</v>
      </c>
      <c r="B38" s="58"/>
      <c r="C38" s="58"/>
      <c r="D38" s="58"/>
      <c r="E38" s="58"/>
      <c r="F38" s="58"/>
      <c r="G38" s="58"/>
      <c r="H38" s="58"/>
      <c r="I38" s="58"/>
    </row>
    <row r="39" spans="1:11" ht="15.75" x14ac:dyDescent="0.25">
      <c r="A39" s="58" t="s">
        <v>288</v>
      </c>
      <c r="B39" s="70"/>
      <c r="C39" s="58"/>
      <c r="D39" s="58"/>
      <c r="E39" s="87"/>
      <c r="F39" s="88"/>
      <c r="G39" s="88"/>
      <c r="H39" s="88"/>
      <c r="I39" s="58"/>
    </row>
    <row r="40" spans="1:11" ht="15.75" x14ac:dyDescent="0.25">
      <c r="A40" s="58" t="s">
        <v>289</v>
      </c>
      <c r="B40" s="56"/>
      <c r="C40" s="58"/>
      <c r="D40" s="58"/>
      <c r="E40" s="58"/>
      <c r="F40" s="58"/>
      <c r="G40" s="58"/>
      <c r="H40" s="58"/>
      <c r="I40" s="58"/>
    </row>
    <row r="41" spans="1:11" ht="15.75" x14ac:dyDescent="0.25">
      <c r="A41" s="58" t="s">
        <v>290</v>
      </c>
      <c r="B41" s="58"/>
      <c r="C41" s="58"/>
      <c r="D41" s="58"/>
      <c r="E41" s="58"/>
      <c r="F41" s="58"/>
      <c r="G41" s="58"/>
      <c r="H41" s="58"/>
      <c r="I41" s="58"/>
    </row>
    <row r="42" spans="1:11" ht="15.75" x14ac:dyDescent="0.25">
      <c r="A42" s="58" t="s">
        <v>291</v>
      </c>
      <c r="B42" s="58"/>
      <c r="C42" s="58"/>
      <c r="D42" s="58"/>
      <c r="E42" s="58"/>
      <c r="F42" s="58"/>
      <c r="G42" s="58"/>
      <c r="H42" s="58"/>
      <c r="I42" s="58"/>
    </row>
    <row r="43" spans="1:11" ht="15.75" x14ac:dyDescent="0.25">
      <c r="A43" s="58" t="s">
        <v>292</v>
      </c>
      <c r="B43" s="58"/>
      <c r="C43" s="58"/>
      <c r="D43" s="58"/>
      <c r="E43" s="58"/>
      <c r="F43" s="58"/>
      <c r="G43" s="58"/>
      <c r="H43" s="58"/>
      <c r="I43" s="58"/>
    </row>
  </sheetData>
  <mergeCells count="15">
    <mergeCell ref="A9:I9"/>
    <mergeCell ref="A3:I3"/>
    <mergeCell ref="A4:I4"/>
    <mergeCell ref="A5:I5"/>
    <mergeCell ref="A6:I6"/>
    <mergeCell ref="A7:I7"/>
    <mergeCell ref="C35:E35"/>
    <mergeCell ref="A10:I10"/>
    <mergeCell ref="A11:I11"/>
    <mergeCell ref="B23:D23"/>
    <mergeCell ref="B24:D24"/>
    <mergeCell ref="A26:I26"/>
    <mergeCell ref="A27:A28"/>
    <mergeCell ref="B27:B28"/>
    <mergeCell ref="H27:H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64C0-640E-4E7E-9592-9601983DC52B}">
  <dimension ref="A1:L31"/>
  <sheetViews>
    <sheetView workbookViewId="0">
      <selection activeCell="H33" sqref="H33"/>
    </sheetView>
  </sheetViews>
  <sheetFormatPr defaultColWidth="9.140625" defaultRowHeight="15" x14ac:dyDescent="0.25"/>
  <cols>
    <col min="1" max="1" width="7.28515625" style="22" customWidth="1"/>
    <col min="2" max="2" width="17.42578125" style="22" customWidth="1"/>
    <col min="3" max="3" width="8.28515625" style="22" customWidth="1"/>
    <col min="4" max="4" width="11.42578125" style="22" customWidth="1"/>
    <col min="5" max="5" width="8.42578125" style="22" customWidth="1"/>
    <col min="6" max="6" width="14.85546875" style="22" customWidth="1"/>
    <col min="7" max="7" width="13.5703125" style="22" bestFit="1" customWidth="1"/>
    <col min="8" max="8" width="12.140625" style="22" customWidth="1"/>
    <col min="9" max="9" width="14.7109375" style="22" customWidth="1"/>
    <col min="10" max="16384" width="9.140625" style="22"/>
  </cols>
  <sheetData>
    <row r="1" spans="1:9" ht="15.75" thickBot="1" x14ac:dyDescent="0.3"/>
    <row r="2" spans="1:9" ht="15.75" x14ac:dyDescent="0.25">
      <c r="B2" s="164" t="s">
        <v>225</v>
      </c>
      <c r="C2" s="165"/>
      <c r="D2" s="166"/>
    </row>
    <row r="3" spans="1:9" ht="15.75" x14ac:dyDescent="0.25">
      <c r="B3" s="167" t="s">
        <v>141</v>
      </c>
      <c r="C3" s="168"/>
      <c r="D3" s="169"/>
    </row>
    <row r="4" spans="1:9" ht="15.75" thickBot="1" x14ac:dyDescent="0.3">
      <c r="B4" s="170" t="s">
        <v>142</v>
      </c>
      <c r="C4" s="171"/>
      <c r="D4" s="172"/>
    </row>
    <row r="6" spans="1:9" ht="25.5" x14ac:dyDescent="0.25">
      <c r="A6" s="42" t="s">
        <v>36</v>
      </c>
      <c r="B6" s="42" t="s">
        <v>143</v>
      </c>
      <c r="C6" s="43" t="s">
        <v>226</v>
      </c>
      <c r="D6" s="43" t="s">
        <v>227</v>
      </c>
      <c r="E6" s="43" t="s">
        <v>228</v>
      </c>
      <c r="F6" s="43" t="s">
        <v>229</v>
      </c>
      <c r="G6" s="43" t="s">
        <v>230</v>
      </c>
      <c r="H6" s="42" t="s">
        <v>231</v>
      </c>
      <c r="I6" s="43" t="s">
        <v>150</v>
      </c>
    </row>
    <row r="7" spans="1:9" x14ac:dyDescent="0.25">
      <c r="A7" s="44">
        <v>1</v>
      </c>
      <c r="B7" s="45" t="s">
        <v>151</v>
      </c>
      <c r="C7" s="45" t="s">
        <v>131</v>
      </c>
      <c r="D7" s="45"/>
      <c r="E7" s="44">
        <v>2</v>
      </c>
      <c r="F7" s="50"/>
      <c r="G7" s="50"/>
      <c r="H7" s="50"/>
      <c r="I7" s="50"/>
    </row>
    <row r="8" spans="1:9" x14ac:dyDescent="0.25">
      <c r="A8" s="44">
        <v>2</v>
      </c>
      <c r="B8" s="45" t="s">
        <v>153</v>
      </c>
      <c r="C8" s="45" t="s">
        <v>232</v>
      </c>
      <c r="D8" s="45"/>
      <c r="E8" s="44">
        <v>7</v>
      </c>
      <c r="F8" s="50"/>
      <c r="G8" s="50"/>
      <c r="H8" s="50"/>
      <c r="I8" s="50"/>
    </row>
    <row r="9" spans="1:9" x14ac:dyDescent="0.25">
      <c r="A9" s="44">
        <v>3</v>
      </c>
      <c r="B9" s="45" t="s">
        <v>155</v>
      </c>
      <c r="C9" s="45" t="s">
        <v>131</v>
      </c>
      <c r="D9" s="45"/>
      <c r="E9" s="44">
        <v>3</v>
      </c>
      <c r="F9" s="50"/>
      <c r="G9" s="50"/>
      <c r="H9" s="50"/>
      <c r="I9" s="50"/>
    </row>
    <row r="10" spans="1:9" x14ac:dyDescent="0.25">
      <c r="A10" s="44">
        <v>4</v>
      </c>
      <c r="B10" s="45" t="s">
        <v>157</v>
      </c>
      <c r="C10" s="45" t="s">
        <v>233</v>
      </c>
      <c r="D10" s="45"/>
      <c r="E10" s="44">
        <v>6</v>
      </c>
      <c r="F10" s="50"/>
      <c r="G10" s="50"/>
      <c r="H10" s="50"/>
      <c r="I10" s="50"/>
    </row>
    <row r="11" spans="1:9" x14ac:dyDescent="0.25">
      <c r="A11" s="44">
        <v>5</v>
      </c>
      <c r="B11" s="45" t="s">
        <v>158</v>
      </c>
      <c r="C11" s="45" t="s">
        <v>232</v>
      </c>
      <c r="D11" s="45"/>
      <c r="E11" s="44">
        <v>3</v>
      </c>
      <c r="F11" s="50"/>
      <c r="G11" s="50"/>
      <c r="H11" s="50"/>
      <c r="I11" s="50"/>
    </row>
    <row r="12" spans="1:9" x14ac:dyDescent="0.25">
      <c r="A12" s="161" t="s">
        <v>159</v>
      </c>
      <c r="B12" s="162"/>
      <c r="C12" s="162"/>
      <c r="D12" s="162"/>
      <c r="E12" s="162"/>
      <c r="F12" s="162"/>
      <c r="G12" s="162"/>
      <c r="H12" s="163"/>
      <c r="I12" s="50"/>
    </row>
    <row r="13" spans="1:9" x14ac:dyDescent="0.25">
      <c r="A13" s="161" t="s">
        <v>160</v>
      </c>
      <c r="B13" s="162"/>
      <c r="C13" s="162"/>
      <c r="D13" s="162"/>
      <c r="E13" s="162"/>
      <c r="F13" s="162"/>
      <c r="G13" s="162"/>
      <c r="H13" s="163"/>
      <c r="I13" s="50"/>
    </row>
    <row r="14" spans="1:9" x14ac:dyDescent="0.25">
      <c r="A14" s="161" t="s">
        <v>161</v>
      </c>
      <c r="B14" s="162"/>
      <c r="C14" s="162"/>
      <c r="D14" s="162"/>
      <c r="E14" s="162"/>
      <c r="F14" s="162"/>
      <c r="G14" s="162"/>
      <c r="H14" s="163"/>
      <c r="I14" s="50"/>
    </row>
    <row r="15" spans="1:9" x14ac:dyDescent="0.25">
      <c r="A15" s="161" t="s">
        <v>162</v>
      </c>
      <c r="B15" s="162"/>
      <c r="C15" s="162"/>
      <c r="D15" s="162"/>
      <c r="E15" s="162"/>
      <c r="F15" s="162"/>
      <c r="G15" s="162"/>
      <c r="H15" s="163"/>
      <c r="I15" s="50"/>
    </row>
    <row r="16" spans="1:9" x14ac:dyDescent="0.25">
      <c r="A16" s="40"/>
      <c r="B16" s="40"/>
      <c r="C16" s="40"/>
      <c r="D16" s="40"/>
      <c r="E16" s="40"/>
      <c r="F16" s="40"/>
      <c r="G16" s="40"/>
      <c r="H16" s="40"/>
      <c r="I16" s="40"/>
    </row>
    <row r="17" spans="1:12" x14ac:dyDescent="0.25">
      <c r="A17" s="40" t="s">
        <v>188</v>
      </c>
      <c r="B17" s="40"/>
      <c r="C17" s="40"/>
      <c r="D17" s="40"/>
      <c r="E17" s="40"/>
      <c r="F17" s="40"/>
      <c r="G17" s="40"/>
      <c r="H17" s="40"/>
      <c r="I17" s="40"/>
    </row>
    <row r="18" spans="1:12" x14ac:dyDescent="0.25">
      <c r="A18" s="40"/>
      <c r="B18" s="40"/>
      <c r="C18" s="40"/>
      <c r="D18" s="40"/>
      <c r="E18" s="40"/>
      <c r="F18" s="40"/>
      <c r="G18" s="40"/>
      <c r="H18" s="40"/>
      <c r="I18" s="40"/>
    </row>
    <row r="19" spans="1:12" ht="26.25" customHeight="1" x14ac:dyDescent="0.25">
      <c r="A19" s="43" t="s">
        <v>226</v>
      </c>
      <c r="B19" s="42" t="s">
        <v>227</v>
      </c>
      <c r="C19" s="40"/>
      <c r="D19" s="40"/>
      <c r="E19" s="51" t="s">
        <v>234</v>
      </c>
      <c r="F19" s="52" t="s">
        <v>131</v>
      </c>
      <c r="G19" s="52" t="s">
        <v>232</v>
      </c>
      <c r="H19" s="52" t="s">
        <v>233</v>
      </c>
      <c r="I19" s="40"/>
    </row>
    <row r="20" spans="1:12" x14ac:dyDescent="0.25">
      <c r="A20" s="45" t="s">
        <v>131</v>
      </c>
      <c r="B20" s="45" t="s">
        <v>235</v>
      </c>
      <c r="C20" s="40"/>
      <c r="D20" s="40"/>
      <c r="E20" s="38"/>
      <c r="F20" s="38"/>
      <c r="G20" s="38"/>
      <c r="H20" s="38"/>
      <c r="I20" s="40"/>
    </row>
    <row r="21" spans="1:12" ht="26.25" x14ac:dyDescent="0.25">
      <c r="A21" s="45" t="s">
        <v>232</v>
      </c>
      <c r="B21" s="45" t="s">
        <v>236</v>
      </c>
      <c r="C21" s="40"/>
      <c r="D21" s="40"/>
      <c r="E21" s="53" t="s">
        <v>237</v>
      </c>
      <c r="F21" s="46">
        <v>750000</v>
      </c>
      <c r="G21" s="46">
        <v>500000</v>
      </c>
      <c r="H21" s="46">
        <v>250000</v>
      </c>
      <c r="I21" s="40"/>
    </row>
    <row r="22" spans="1:12" x14ac:dyDescent="0.25">
      <c r="A22" s="45" t="s">
        <v>233</v>
      </c>
      <c r="B22" s="45" t="s">
        <v>238</v>
      </c>
      <c r="C22" s="40"/>
      <c r="D22" s="40"/>
      <c r="E22" s="40"/>
      <c r="F22" s="40"/>
      <c r="G22" s="40"/>
      <c r="H22" s="40"/>
      <c r="I22" s="40"/>
    </row>
    <row r="23" spans="1:12" x14ac:dyDescent="0.25">
      <c r="A23" s="40"/>
      <c r="B23" s="40"/>
      <c r="C23" s="40"/>
      <c r="D23" s="40"/>
      <c r="E23" s="40"/>
      <c r="F23" s="40"/>
      <c r="G23" s="40"/>
      <c r="H23" s="40"/>
      <c r="I23" s="40"/>
      <c r="L23" s="22" t="s">
        <v>239</v>
      </c>
    </row>
    <row r="24" spans="1:12" x14ac:dyDescent="0.25">
      <c r="A24" s="40"/>
      <c r="B24" s="40"/>
      <c r="C24" s="40"/>
      <c r="D24" s="40"/>
      <c r="E24" s="40"/>
      <c r="F24" s="40"/>
      <c r="G24" s="40"/>
      <c r="H24" s="40"/>
      <c r="I24" s="40"/>
    </row>
    <row r="25" spans="1:12" x14ac:dyDescent="0.25">
      <c r="A25" s="40" t="s">
        <v>163</v>
      </c>
      <c r="B25" s="40"/>
      <c r="C25" s="40"/>
      <c r="D25" s="40"/>
      <c r="E25" s="40"/>
      <c r="F25" s="40"/>
      <c r="G25" s="40"/>
      <c r="H25" s="40"/>
      <c r="I25" s="40"/>
    </row>
    <row r="26" spans="1:12" x14ac:dyDescent="0.25">
      <c r="A26" s="40" t="s">
        <v>240</v>
      </c>
      <c r="B26" s="40"/>
      <c r="C26" s="40"/>
      <c r="D26" s="40"/>
      <c r="E26" s="40"/>
      <c r="F26" s="40"/>
      <c r="G26" s="40"/>
      <c r="H26" s="40"/>
      <c r="I26" s="40"/>
    </row>
    <row r="27" spans="1:12" x14ac:dyDescent="0.25">
      <c r="A27" s="40" t="s">
        <v>241</v>
      </c>
      <c r="B27" s="40"/>
      <c r="C27" s="40"/>
      <c r="D27" s="40"/>
      <c r="E27" s="40"/>
      <c r="F27" s="40"/>
      <c r="G27" s="40"/>
      <c r="H27" s="40"/>
      <c r="I27" s="40"/>
    </row>
    <row r="28" spans="1:12" x14ac:dyDescent="0.25">
      <c r="A28" s="40" t="s">
        <v>242</v>
      </c>
      <c r="B28" s="40"/>
      <c r="C28" s="40"/>
      <c r="D28" s="40"/>
      <c r="E28" s="40"/>
      <c r="F28" s="40"/>
      <c r="G28" s="40"/>
      <c r="H28" s="40"/>
      <c r="I28" s="40"/>
    </row>
    <row r="29" spans="1:12" x14ac:dyDescent="0.25">
      <c r="A29" s="40" t="s">
        <v>243</v>
      </c>
      <c r="B29" s="40"/>
      <c r="C29" s="40"/>
      <c r="D29" s="40"/>
      <c r="E29" s="40"/>
      <c r="F29" s="40"/>
      <c r="G29" s="40"/>
      <c r="H29" s="40"/>
      <c r="I29" s="40"/>
    </row>
    <row r="30" spans="1:12" x14ac:dyDescent="0.25">
      <c r="A30" s="40" t="s">
        <v>244</v>
      </c>
      <c r="B30" s="40"/>
      <c r="C30" s="40"/>
      <c r="D30" s="40"/>
      <c r="E30" s="40"/>
      <c r="F30" s="40"/>
      <c r="G30" s="40"/>
      <c r="H30" s="40"/>
      <c r="I30" s="40"/>
    </row>
    <row r="31" spans="1:12" x14ac:dyDescent="0.25">
      <c r="A31" s="40"/>
      <c r="B31" s="40"/>
      <c r="C31" s="40"/>
      <c r="D31" s="40"/>
      <c r="E31" s="40"/>
      <c r="F31" s="40"/>
      <c r="G31" s="40"/>
      <c r="H31" s="40"/>
      <c r="I31" s="40"/>
    </row>
  </sheetData>
  <mergeCells count="7">
    <mergeCell ref="A15:H15"/>
    <mergeCell ref="B2:D2"/>
    <mergeCell ref="B3:D3"/>
    <mergeCell ref="B4:D4"/>
    <mergeCell ref="A12:H12"/>
    <mergeCell ref="A13:H13"/>
    <mergeCell ref="A14:H14"/>
  </mergeCells>
  <pageMargins left="0.2" right="0.13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61BE-62E3-4DC2-9156-8BD5B5D63E3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1702B-3396-4CA1-8764-AE67BF811B49}">
  <dimension ref="A1:I33"/>
  <sheetViews>
    <sheetView workbookViewId="0">
      <selection activeCell="I15" sqref="I15"/>
    </sheetView>
  </sheetViews>
  <sheetFormatPr defaultColWidth="9.140625" defaultRowHeight="15" x14ac:dyDescent="0.25"/>
  <cols>
    <col min="1" max="1" width="7.28515625" style="22" customWidth="1"/>
    <col min="2" max="2" width="17.42578125" style="22" customWidth="1"/>
    <col min="3" max="3" width="8.28515625" style="22" customWidth="1"/>
    <col min="4" max="4" width="11.42578125" style="22" customWidth="1"/>
    <col min="5" max="5" width="8.42578125" style="22" customWidth="1"/>
    <col min="6" max="6" width="12.140625" style="22" customWidth="1"/>
    <col min="7" max="7" width="12.5703125" style="22" customWidth="1"/>
    <col min="8" max="8" width="10.28515625" style="22" customWidth="1"/>
    <col min="9" max="9" width="13.140625" style="22" customWidth="1"/>
    <col min="10" max="16384" width="9.140625" style="22"/>
  </cols>
  <sheetData>
    <row r="1" spans="1:9" ht="15.75" thickBot="1" x14ac:dyDescent="0.3"/>
    <row r="2" spans="1:9" ht="15.75" x14ac:dyDescent="0.25">
      <c r="B2" s="164" t="s">
        <v>225</v>
      </c>
      <c r="C2" s="165"/>
      <c r="D2" s="166"/>
    </row>
    <row r="3" spans="1:9" ht="15.75" x14ac:dyDescent="0.25">
      <c r="B3" s="167" t="s">
        <v>141</v>
      </c>
      <c r="C3" s="168"/>
      <c r="D3" s="169"/>
    </row>
    <row r="4" spans="1:9" ht="15.75" thickBot="1" x14ac:dyDescent="0.3">
      <c r="B4" s="170" t="s">
        <v>142</v>
      </c>
      <c r="C4" s="171"/>
      <c r="D4" s="172"/>
    </row>
    <row r="6" spans="1:9" ht="25.5" x14ac:dyDescent="0.25">
      <c r="A6" s="42" t="s">
        <v>36</v>
      </c>
      <c r="B6" s="42" t="s">
        <v>143</v>
      </c>
      <c r="C6" s="43" t="s">
        <v>226</v>
      </c>
      <c r="D6" s="43" t="s">
        <v>227</v>
      </c>
      <c r="E6" s="43" t="s">
        <v>228</v>
      </c>
      <c r="F6" s="43" t="s">
        <v>229</v>
      </c>
      <c r="G6" s="43" t="s">
        <v>230</v>
      </c>
      <c r="H6" s="42" t="s">
        <v>231</v>
      </c>
      <c r="I6" s="43" t="s">
        <v>150</v>
      </c>
    </row>
    <row r="7" spans="1:9" x14ac:dyDescent="0.25">
      <c r="A7" s="44">
        <v>1</v>
      </c>
      <c r="B7" s="45" t="s">
        <v>151</v>
      </c>
      <c r="C7" s="44" t="s">
        <v>131</v>
      </c>
      <c r="D7" s="45" t="str">
        <f>VLOOKUP(C7,$A$20:$B$22,2)</f>
        <v>LUX</v>
      </c>
      <c r="E7" s="44">
        <v>2</v>
      </c>
      <c r="F7" s="54">
        <f>HLOOKUP(C7,$F$19:$H$21,3)</f>
        <v>750000</v>
      </c>
      <c r="G7" s="54">
        <f>E7*F7</f>
        <v>1500000</v>
      </c>
      <c r="H7" s="54">
        <f>IF(E7&gt;5,5%*G7,0)</f>
        <v>0</v>
      </c>
      <c r="I7" s="54">
        <f>G7-H7</f>
        <v>1500000</v>
      </c>
    </row>
    <row r="8" spans="1:9" x14ac:dyDescent="0.25">
      <c r="A8" s="44">
        <v>2</v>
      </c>
      <c r="B8" s="45" t="s">
        <v>153</v>
      </c>
      <c r="C8" s="44" t="s">
        <v>232</v>
      </c>
      <c r="D8" s="45" t="str">
        <f t="shared" ref="D8:D11" si="0">VLOOKUP(C8,$A$20:$B$22,2)</f>
        <v>VIP</v>
      </c>
      <c r="E8" s="44">
        <v>7</v>
      </c>
      <c r="F8" s="54">
        <f t="shared" ref="F8:F11" si="1">HLOOKUP(C8,$F$19:$H$21,3)</f>
        <v>500000</v>
      </c>
      <c r="G8" s="54">
        <f t="shared" ref="G8:G11" si="2">E8*F8</f>
        <v>3500000</v>
      </c>
      <c r="H8" s="54">
        <f t="shared" ref="H8:H11" si="3">IF(E8&gt;5,5%*G8,0)</f>
        <v>175000</v>
      </c>
      <c r="I8" s="54">
        <f t="shared" ref="I8:I11" si="4">G8-H8</f>
        <v>3325000</v>
      </c>
    </row>
    <row r="9" spans="1:9" x14ac:dyDescent="0.25">
      <c r="A9" s="44">
        <v>3</v>
      </c>
      <c r="B9" s="45" t="s">
        <v>155</v>
      </c>
      <c r="C9" s="44" t="s">
        <v>131</v>
      </c>
      <c r="D9" s="45" t="str">
        <f t="shared" si="0"/>
        <v>LUX</v>
      </c>
      <c r="E9" s="44">
        <v>3</v>
      </c>
      <c r="F9" s="54">
        <f t="shared" si="1"/>
        <v>750000</v>
      </c>
      <c r="G9" s="54">
        <f t="shared" si="2"/>
        <v>2250000</v>
      </c>
      <c r="H9" s="54">
        <f t="shared" si="3"/>
        <v>0</v>
      </c>
      <c r="I9" s="54">
        <f t="shared" si="4"/>
        <v>2250000</v>
      </c>
    </row>
    <row r="10" spans="1:9" x14ac:dyDescent="0.25">
      <c r="A10" s="44">
        <v>4</v>
      </c>
      <c r="B10" s="45" t="s">
        <v>157</v>
      </c>
      <c r="C10" s="44" t="s">
        <v>233</v>
      </c>
      <c r="D10" s="45" t="str">
        <f t="shared" si="0"/>
        <v>EKONOMIS</v>
      </c>
      <c r="E10" s="44">
        <v>6</v>
      </c>
      <c r="F10" s="54">
        <f t="shared" si="1"/>
        <v>250000</v>
      </c>
      <c r="G10" s="54">
        <f t="shared" si="2"/>
        <v>1500000</v>
      </c>
      <c r="H10" s="54">
        <f t="shared" si="3"/>
        <v>75000</v>
      </c>
      <c r="I10" s="54">
        <f t="shared" si="4"/>
        <v>1425000</v>
      </c>
    </row>
    <row r="11" spans="1:9" x14ac:dyDescent="0.25">
      <c r="A11" s="44">
        <v>5</v>
      </c>
      <c r="B11" s="45" t="s">
        <v>158</v>
      </c>
      <c r="C11" s="44" t="s">
        <v>232</v>
      </c>
      <c r="D11" s="45" t="str">
        <f t="shared" si="0"/>
        <v>VIP</v>
      </c>
      <c r="E11" s="44">
        <v>3</v>
      </c>
      <c r="F11" s="54">
        <f t="shared" si="1"/>
        <v>500000</v>
      </c>
      <c r="G11" s="54">
        <f t="shared" si="2"/>
        <v>1500000</v>
      </c>
      <c r="H11" s="54">
        <f t="shared" si="3"/>
        <v>0</v>
      </c>
      <c r="I11" s="54">
        <f t="shared" si="4"/>
        <v>1500000</v>
      </c>
    </row>
    <row r="12" spans="1:9" x14ac:dyDescent="0.25">
      <c r="A12" s="161" t="s">
        <v>159</v>
      </c>
      <c r="B12" s="162"/>
      <c r="C12" s="162"/>
      <c r="D12" s="162"/>
      <c r="E12" s="162"/>
      <c r="F12" s="162"/>
      <c r="G12" s="162"/>
      <c r="H12" s="163"/>
      <c r="I12" s="54">
        <f>SUM(I7:I11)</f>
        <v>10000000</v>
      </c>
    </row>
    <row r="13" spans="1:9" x14ac:dyDescent="0.25">
      <c r="A13" s="161" t="s">
        <v>160</v>
      </c>
      <c r="B13" s="162"/>
      <c r="C13" s="162"/>
      <c r="D13" s="162"/>
      <c r="E13" s="162"/>
      <c r="F13" s="162"/>
      <c r="G13" s="162"/>
      <c r="H13" s="163"/>
      <c r="I13" s="54">
        <f>AVERAGE(I7:I11)</f>
        <v>2000000</v>
      </c>
    </row>
    <row r="14" spans="1:9" x14ac:dyDescent="0.25">
      <c r="A14" s="161" t="s">
        <v>161</v>
      </c>
      <c r="B14" s="162"/>
      <c r="C14" s="162"/>
      <c r="D14" s="162"/>
      <c r="E14" s="162"/>
      <c r="F14" s="162"/>
      <c r="G14" s="162"/>
      <c r="H14" s="163"/>
      <c r="I14" s="54">
        <f>MAX(I7:I11)</f>
        <v>3325000</v>
      </c>
    </row>
    <row r="15" spans="1:9" x14ac:dyDescent="0.25">
      <c r="A15" s="161" t="s">
        <v>162</v>
      </c>
      <c r="B15" s="162"/>
      <c r="C15" s="162"/>
      <c r="D15" s="162"/>
      <c r="E15" s="162"/>
      <c r="F15" s="162"/>
      <c r="G15" s="162"/>
      <c r="H15" s="163"/>
      <c r="I15" s="54">
        <f>MIN(I7:I11)</f>
        <v>1425000</v>
      </c>
    </row>
    <row r="16" spans="1:9" x14ac:dyDescent="0.25">
      <c r="A16" s="40"/>
      <c r="B16" s="40"/>
      <c r="C16" s="40"/>
      <c r="D16" s="40"/>
      <c r="E16" s="40"/>
      <c r="F16" s="40"/>
      <c r="G16" s="40"/>
      <c r="H16" s="40"/>
      <c r="I16" s="40"/>
    </row>
    <row r="17" spans="1:9" x14ac:dyDescent="0.25">
      <c r="A17" s="40" t="s">
        <v>188</v>
      </c>
      <c r="B17" s="40"/>
      <c r="C17" s="40"/>
      <c r="D17" s="40"/>
      <c r="E17" s="40"/>
      <c r="F17" s="40"/>
      <c r="G17" s="40"/>
      <c r="H17" s="40"/>
      <c r="I17" s="40"/>
    </row>
    <row r="18" spans="1:9" x14ac:dyDescent="0.2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26.25" customHeight="1" x14ac:dyDescent="0.25">
      <c r="A19" s="43" t="s">
        <v>226</v>
      </c>
      <c r="B19" s="42" t="s">
        <v>227</v>
      </c>
      <c r="C19" s="40"/>
      <c r="D19" s="40"/>
      <c r="E19" s="51" t="s">
        <v>234</v>
      </c>
      <c r="F19" s="52" t="s">
        <v>233</v>
      </c>
      <c r="G19" s="52" t="s">
        <v>131</v>
      </c>
      <c r="H19" s="52" t="s">
        <v>232</v>
      </c>
      <c r="I19" s="40"/>
    </row>
    <row r="20" spans="1:9" x14ac:dyDescent="0.25">
      <c r="A20" s="45" t="s">
        <v>233</v>
      </c>
      <c r="B20" s="45" t="s">
        <v>238</v>
      </c>
      <c r="C20" s="40"/>
      <c r="D20" s="40"/>
      <c r="E20" s="38"/>
      <c r="F20" s="38"/>
      <c r="G20" s="38"/>
      <c r="H20" s="38"/>
      <c r="I20" s="40"/>
    </row>
    <row r="21" spans="1:9" ht="26.25" x14ac:dyDescent="0.25">
      <c r="A21" s="45" t="s">
        <v>131</v>
      </c>
      <c r="B21" s="45" t="s">
        <v>235</v>
      </c>
      <c r="C21" s="40"/>
      <c r="D21" s="40"/>
      <c r="E21" s="53" t="s">
        <v>237</v>
      </c>
      <c r="F21" s="46">
        <v>250000</v>
      </c>
      <c r="G21" s="46">
        <v>750000</v>
      </c>
      <c r="H21" s="46">
        <v>500000</v>
      </c>
      <c r="I21" s="40"/>
    </row>
    <row r="22" spans="1:9" x14ac:dyDescent="0.25">
      <c r="A22" s="45" t="s">
        <v>232</v>
      </c>
      <c r="B22" s="45" t="s">
        <v>236</v>
      </c>
      <c r="C22" s="40"/>
      <c r="D22" s="40"/>
      <c r="E22" s="40"/>
      <c r="F22" s="40"/>
      <c r="G22" s="40"/>
      <c r="H22" s="40"/>
      <c r="I22" s="40"/>
    </row>
    <row r="23" spans="1:9" x14ac:dyDescent="0.25">
      <c r="A23" s="40"/>
      <c r="B23" s="40"/>
      <c r="C23" s="40"/>
      <c r="D23" s="40"/>
      <c r="E23" s="40"/>
      <c r="F23" s="40"/>
      <c r="G23" s="40"/>
      <c r="H23" s="40"/>
      <c r="I23" s="40"/>
    </row>
    <row r="24" spans="1:9" x14ac:dyDescent="0.25">
      <c r="A24" s="40"/>
      <c r="B24" s="40"/>
      <c r="C24" s="40"/>
      <c r="D24" s="40"/>
      <c r="E24" s="40"/>
      <c r="F24" s="40"/>
      <c r="G24" s="40"/>
      <c r="H24" s="40"/>
      <c r="I24" s="40"/>
    </row>
    <row r="25" spans="1:9" x14ac:dyDescent="0.25">
      <c r="A25" s="40" t="s">
        <v>163</v>
      </c>
      <c r="B25" s="40"/>
      <c r="C25" s="40"/>
      <c r="D25" s="40"/>
      <c r="E25" s="40"/>
      <c r="F25" s="40"/>
      <c r="G25" s="40"/>
      <c r="H25" s="40"/>
      <c r="I25" s="40"/>
    </row>
    <row r="26" spans="1:9" x14ac:dyDescent="0.25">
      <c r="A26" s="40" t="s">
        <v>240</v>
      </c>
      <c r="B26" s="40"/>
      <c r="C26" s="40"/>
      <c r="D26" s="40"/>
      <c r="E26" s="40"/>
      <c r="F26" s="40"/>
      <c r="G26" s="40"/>
      <c r="H26" s="40"/>
      <c r="I26" s="40"/>
    </row>
    <row r="27" spans="1:9" x14ac:dyDescent="0.25">
      <c r="A27" s="40" t="s">
        <v>241</v>
      </c>
      <c r="B27" s="40"/>
      <c r="C27" s="40"/>
      <c r="D27" s="40"/>
      <c r="E27" s="40"/>
      <c r="F27" s="40"/>
      <c r="G27" s="40"/>
      <c r="H27" s="40"/>
      <c r="I27" s="40"/>
    </row>
    <row r="28" spans="1:9" x14ac:dyDescent="0.25">
      <c r="A28" s="40" t="s">
        <v>242</v>
      </c>
      <c r="B28" s="40"/>
      <c r="C28" s="40"/>
      <c r="D28" s="40"/>
      <c r="E28" s="40"/>
      <c r="F28" s="40"/>
      <c r="G28" s="40"/>
      <c r="H28" s="40"/>
      <c r="I28" s="40"/>
    </row>
    <row r="29" spans="1:9" x14ac:dyDescent="0.25">
      <c r="A29" s="40" t="s">
        <v>243</v>
      </c>
      <c r="B29" s="40"/>
      <c r="C29" s="40"/>
      <c r="D29" s="40"/>
      <c r="E29" s="40"/>
      <c r="F29" s="40"/>
      <c r="G29" s="40"/>
      <c r="H29" s="40"/>
      <c r="I29" s="40"/>
    </row>
    <row r="30" spans="1:9" x14ac:dyDescent="0.25">
      <c r="A30" s="40" t="s">
        <v>244</v>
      </c>
      <c r="B30" s="40"/>
      <c r="C30" s="40"/>
      <c r="D30" s="40"/>
      <c r="E30" s="40"/>
      <c r="F30" s="40"/>
      <c r="G30" s="40"/>
      <c r="H30" s="40"/>
      <c r="I30" s="40"/>
    </row>
    <row r="31" spans="1:9" x14ac:dyDescent="0.25">
      <c r="A31" s="40"/>
      <c r="B31" s="40"/>
      <c r="C31" s="40"/>
      <c r="D31" s="40"/>
      <c r="E31" s="40"/>
      <c r="F31" s="40"/>
      <c r="G31" s="40"/>
      <c r="H31" s="40"/>
      <c r="I31" s="40"/>
    </row>
    <row r="33" spans="2:2" ht="26.25" x14ac:dyDescent="0.4">
      <c r="B33" s="55" t="s">
        <v>245</v>
      </c>
    </row>
  </sheetData>
  <mergeCells count="7">
    <mergeCell ref="A15:H15"/>
    <mergeCell ref="B2:D2"/>
    <mergeCell ref="B3:D3"/>
    <mergeCell ref="B4:D4"/>
    <mergeCell ref="A12:H12"/>
    <mergeCell ref="A13:H13"/>
    <mergeCell ref="A14:H14"/>
  </mergeCells>
  <pageMargins left="0.2" right="0.13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C703-CBF2-44AE-BB53-E1B2BAA2F6E2}">
  <dimension ref="A1:M24"/>
  <sheetViews>
    <sheetView topLeftCell="A4" zoomScale="120" zoomScaleNormal="120" workbookViewId="0">
      <selection activeCell="H28" sqref="H28"/>
    </sheetView>
  </sheetViews>
  <sheetFormatPr defaultColWidth="9.140625" defaultRowHeight="15" x14ac:dyDescent="0.25"/>
  <cols>
    <col min="1" max="1" width="7.28515625" style="22" customWidth="1"/>
    <col min="2" max="2" width="17.42578125" style="22" customWidth="1"/>
    <col min="3" max="3" width="11.42578125" style="22" customWidth="1"/>
    <col min="4" max="4" width="14.42578125" style="22" customWidth="1"/>
    <col min="5" max="5" width="7.42578125" style="22" customWidth="1"/>
    <col min="6" max="6" width="12.85546875" style="22" customWidth="1"/>
    <col min="7" max="7" width="14.28515625" style="22" bestFit="1" customWidth="1"/>
    <col min="8" max="8" width="14.140625" style="22" bestFit="1" customWidth="1"/>
    <col min="9" max="9" width="13.7109375" style="22" customWidth="1"/>
    <col min="10" max="10" width="9.140625" style="22"/>
    <col min="11" max="11" width="10.28515625" style="22" customWidth="1"/>
    <col min="12" max="12" width="13.85546875" style="22" bestFit="1" customWidth="1"/>
    <col min="13" max="13" width="10.42578125" style="22" bestFit="1" customWidth="1"/>
    <col min="14" max="16384" width="9.140625" style="22"/>
  </cols>
  <sheetData>
    <row r="1" spans="1:13" ht="15.75" thickBot="1" x14ac:dyDescent="0.3"/>
    <row r="2" spans="1:13" ht="15.75" x14ac:dyDescent="0.25">
      <c r="B2" s="164" t="s">
        <v>140</v>
      </c>
      <c r="C2" s="165"/>
      <c r="D2" s="166"/>
    </row>
    <row r="3" spans="1:13" ht="15.75" x14ac:dyDescent="0.25">
      <c r="B3" s="167" t="s">
        <v>141</v>
      </c>
      <c r="C3" s="168"/>
      <c r="D3" s="169"/>
    </row>
    <row r="4" spans="1:13" ht="15.75" thickBot="1" x14ac:dyDescent="0.3">
      <c r="B4" s="170" t="s">
        <v>142</v>
      </c>
      <c r="C4" s="171"/>
      <c r="D4" s="172"/>
    </row>
    <row r="6" spans="1:13" ht="45" x14ac:dyDescent="0.25">
      <c r="A6" s="33" t="s">
        <v>36</v>
      </c>
      <c r="B6" s="33" t="s">
        <v>143</v>
      </c>
      <c r="C6" s="34" t="s">
        <v>144</v>
      </c>
      <c r="D6" s="34" t="s">
        <v>145</v>
      </c>
      <c r="E6" s="34" t="s">
        <v>146</v>
      </c>
      <c r="F6" s="34" t="s">
        <v>147</v>
      </c>
      <c r="G6" s="34" t="s">
        <v>148</v>
      </c>
      <c r="H6" s="33" t="s">
        <v>149</v>
      </c>
      <c r="I6" s="34" t="s">
        <v>150</v>
      </c>
      <c r="K6" s="35"/>
      <c r="L6" s="36"/>
      <c r="M6" s="37"/>
    </row>
    <row r="7" spans="1:13" x14ac:dyDescent="0.25">
      <c r="A7" s="24">
        <v>1</v>
      </c>
      <c r="B7" s="38" t="s">
        <v>151</v>
      </c>
      <c r="C7" s="38" t="s">
        <v>152</v>
      </c>
      <c r="D7" s="38"/>
      <c r="E7" s="24">
        <v>26</v>
      </c>
      <c r="F7" s="39"/>
      <c r="G7" s="39"/>
      <c r="H7" s="39"/>
      <c r="I7" s="39"/>
      <c r="K7" s="40"/>
      <c r="L7" s="40"/>
      <c r="M7" s="41"/>
    </row>
    <row r="8" spans="1:13" x14ac:dyDescent="0.25">
      <c r="A8" s="24">
        <v>2</v>
      </c>
      <c r="B8" s="38" t="s">
        <v>153</v>
      </c>
      <c r="C8" s="38" t="s">
        <v>154</v>
      </c>
      <c r="D8" s="38"/>
      <c r="E8" s="24">
        <v>12</v>
      </c>
      <c r="F8" s="39"/>
      <c r="G8" s="39"/>
      <c r="H8" s="39"/>
      <c r="I8" s="39"/>
      <c r="K8" s="40"/>
      <c r="L8" s="40"/>
      <c r="M8" s="41"/>
    </row>
    <row r="9" spans="1:13" x14ac:dyDescent="0.25">
      <c r="A9" s="24">
        <v>3</v>
      </c>
      <c r="B9" s="38" t="s">
        <v>155</v>
      </c>
      <c r="C9" s="38" t="s">
        <v>156</v>
      </c>
      <c r="D9" s="38"/>
      <c r="E9" s="24">
        <v>10</v>
      </c>
      <c r="F9" s="39"/>
      <c r="G9" s="39"/>
      <c r="H9" s="39"/>
      <c r="I9" s="39"/>
      <c r="K9" s="40"/>
      <c r="L9" s="40"/>
      <c r="M9" s="41"/>
    </row>
    <row r="10" spans="1:13" x14ac:dyDescent="0.25">
      <c r="A10" s="24">
        <v>4</v>
      </c>
      <c r="B10" s="38" t="s">
        <v>157</v>
      </c>
      <c r="C10" s="38" t="s">
        <v>154</v>
      </c>
      <c r="D10" s="38"/>
      <c r="E10" s="24">
        <v>24</v>
      </c>
      <c r="F10" s="39"/>
      <c r="G10" s="39"/>
      <c r="H10" s="39"/>
      <c r="I10" s="39"/>
    </row>
    <row r="11" spans="1:13" x14ac:dyDescent="0.25">
      <c r="A11" s="24">
        <v>5</v>
      </c>
      <c r="B11" s="38" t="s">
        <v>158</v>
      </c>
      <c r="C11" s="38" t="s">
        <v>152</v>
      </c>
      <c r="D11" s="38"/>
      <c r="E11" s="24">
        <v>30</v>
      </c>
      <c r="F11" s="39"/>
      <c r="G11" s="39"/>
      <c r="H11" s="39"/>
      <c r="I11" s="39"/>
    </row>
    <row r="12" spans="1:13" x14ac:dyDescent="0.25">
      <c r="A12" s="173" t="s">
        <v>159</v>
      </c>
      <c r="B12" s="174"/>
      <c r="C12" s="174"/>
      <c r="D12" s="174"/>
      <c r="E12" s="174"/>
      <c r="F12" s="174"/>
      <c r="G12" s="174"/>
      <c r="H12" s="175"/>
      <c r="I12" s="39"/>
    </row>
    <row r="13" spans="1:13" x14ac:dyDescent="0.25">
      <c r="A13" s="173" t="s">
        <v>160</v>
      </c>
      <c r="B13" s="174"/>
      <c r="C13" s="174"/>
      <c r="D13" s="174"/>
      <c r="E13" s="174"/>
      <c r="F13" s="174"/>
      <c r="G13" s="174"/>
      <c r="H13" s="175"/>
      <c r="I13" s="39"/>
    </row>
    <row r="14" spans="1:13" x14ac:dyDescent="0.25">
      <c r="A14" s="173" t="s">
        <v>161</v>
      </c>
      <c r="B14" s="174"/>
      <c r="C14" s="174"/>
      <c r="D14" s="174"/>
      <c r="E14" s="174"/>
      <c r="F14" s="174"/>
      <c r="G14" s="174"/>
      <c r="H14" s="175"/>
      <c r="I14" s="39"/>
    </row>
    <row r="15" spans="1:13" x14ac:dyDescent="0.25">
      <c r="A15" s="173" t="s">
        <v>162</v>
      </c>
      <c r="B15" s="174"/>
      <c r="C15" s="174"/>
      <c r="D15" s="174"/>
      <c r="E15" s="174"/>
      <c r="F15" s="174"/>
      <c r="G15" s="174"/>
      <c r="H15" s="175"/>
      <c r="I15" s="39"/>
    </row>
    <row r="17" spans="1:5" x14ac:dyDescent="0.25">
      <c r="A17" s="22" t="s">
        <v>163</v>
      </c>
    </row>
    <row r="18" spans="1:5" x14ac:dyDescent="0.25">
      <c r="A18" s="22" t="s">
        <v>164</v>
      </c>
    </row>
    <row r="19" spans="1:5" x14ac:dyDescent="0.25">
      <c r="A19" s="22" t="s">
        <v>165</v>
      </c>
    </row>
    <row r="20" spans="1:5" x14ac:dyDescent="0.25">
      <c r="A20" s="22" t="s">
        <v>166</v>
      </c>
      <c r="C20" s="22" t="s">
        <v>167</v>
      </c>
      <c r="E20" s="22" t="s">
        <v>168</v>
      </c>
    </row>
    <row r="21" spans="1:5" x14ac:dyDescent="0.25">
      <c r="A21" s="22" t="s">
        <v>169</v>
      </c>
    </row>
    <row r="22" spans="1:5" x14ac:dyDescent="0.25">
      <c r="A22" s="22" t="s">
        <v>170</v>
      </c>
    </row>
    <row r="23" spans="1:5" x14ac:dyDescent="0.25">
      <c r="A23" s="22" t="s">
        <v>171</v>
      </c>
    </row>
    <row r="24" spans="1:5" x14ac:dyDescent="0.25">
      <c r="A24" s="22" t="s">
        <v>172</v>
      </c>
    </row>
  </sheetData>
  <mergeCells count="7">
    <mergeCell ref="A15:H15"/>
    <mergeCell ref="B2:D2"/>
    <mergeCell ref="B3:D3"/>
    <mergeCell ref="B4:D4"/>
    <mergeCell ref="A12:H12"/>
    <mergeCell ref="A13:H13"/>
    <mergeCell ref="A14:H14"/>
  </mergeCells>
  <pageMargins left="0.2" right="0.13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AE1A5-3B50-4F48-9E97-5F87E8EC4AC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0DEE9-EEA8-4448-B6EF-11D2202F93FF}">
  <dimension ref="A1:K54"/>
  <sheetViews>
    <sheetView workbookViewId="0">
      <selection activeCell="I12" sqref="I12"/>
    </sheetView>
  </sheetViews>
  <sheetFormatPr defaultColWidth="9.140625" defaultRowHeight="15" x14ac:dyDescent="0.25"/>
  <cols>
    <col min="1" max="1" width="7.28515625" style="22" customWidth="1"/>
    <col min="2" max="2" width="16" style="22" customWidth="1"/>
    <col min="3" max="3" width="11.42578125" style="22" customWidth="1"/>
    <col min="4" max="4" width="12.5703125" style="22" customWidth="1"/>
    <col min="5" max="5" width="7.42578125" style="22" customWidth="1"/>
    <col min="6" max="6" width="11.42578125" style="22" customWidth="1"/>
    <col min="7" max="7" width="11.28515625" style="22" bestFit="1" customWidth="1"/>
    <col min="8" max="8" width="10" style="22" customWidth="1"/>
    <col min="9" max="9" width="13.140625" style="22" customWidth="1"/>
    <col min="10" max="16384" width="9.140625" style="22"/>
  </cols>
  <sheetData>
    <row r="1" spans="1:11" ht="15.75" thickBot="1" x14ac:dyDescent="0.3"/>
    <row r="2" spans="1:11" ht="15.75" x14ac:dyDescent="0.25">
      <c r="B2" s="164" t="s">
        <v>140</v>
      </c>
      <c r="C2" s="165"/>
      <c r="D2" s="166"/>
    </row>
    <row r="3" spans="1:11" ht="15.75" x14ac:dyDescent="0.25">
      <c r="B3" s="167" t="s">
        <v>141</v>
      </c>
      <c r="C3" s="168"/>
      <c r="D3" s="169"/>
      <c r="K3" s="22" t="s">
        <v>173</v>
      </c>
    </row>
    <row r="4" spans="1:11" ht="15.75" thickBot="1" x14ac:dyDescent="0.3">
      <c r="B4" s="170" t="s">
        <v>142</v>
      </c>
      <c r="C4" s="171"/>
      <c r="D4" s="172"/>
      <c r="J4" s="22">
        <v>1</v>
      </c>
      <c r="K4" s="22" t="s">
        <v>174</v>
      </c>
    </row>
    <row r="5" spans="1:11" x14ac:dyDescent="0.25">
      <c r="K5" s="22" t="s">
        <v>175</v>
      </c>
    </row>
    <row r="6" spans="1:11" ht="25.5" x14ac:dyDescent="0.25">
      <c r="A6" s="42" t="s">
        <v>36</v>
      </c>
      <c r="B6" s="42" t="s">
        <v>143</v>
      </c>
      <c r="C6" s="43" t="s">
        <v>144</v>
      </c>
      <c r="D6" s="43" t="s">
        <v>145</v>
      </c>
      <c r="E6" s="43" t="s">
        <v>146</v>
      </c>
      <c r="F6" s="43" t="s">
        <v>147</v>
      </c>
      <c r="G6" s="43" t="s">
        <v>148</v>
      </c>
      <c r="H6" s="42" t="s">
        <v>149</v>
      </c>
      <c r="I6" s="43" t="s">
        <v>150</v>
      </c>
      <c r="J6" s="22">
        <v>2</v>
      </c>
      <c r="K6" s="22" t="s">
        <v>176</v>
      </c>
    </row>
    <row r="7" spans="1:11" x14ac:dyDescent="0.25">
      <c r="A7" s="44">
        <v>1</v>
      </c>
      <c r="B7" s="45" t="s">
        <v>151</v>
      </c>
      <c r="C7" s="45" t="s">
        <v>152</v>
      </c>
      <c r="D7" s="45" t="s">
        <v>194</v>
      </c>
      <c r="E7" s="44">
        <v>26</v>
      </c>
      <c r="F7" s="46">
        <f>VLOOKUP(C7,$A$20:$C$22,3)</f>
        <v>12500</v>
      </c>
      <c r="G7" s="46">
        <f>E7*F7</f>
        <v>325000</v>
      </c>
      <c r="H7" s="46">
        <f>IF(E7&gt;24,5%*G7,0)</f>
        <v>16250</v>
      </c>
      <c r="I7" s="46">
        <f>G7+H7</f>
        <v>341250</v>
      </c>
      <c r="J7" s="22">
        <v>3</v>
      </c>
      <c r="K7" s="22" t="s">
        <v>177</v>
      </c>
    </row>
    <row r="8" spans="1:11" x14ac:dyDescent="0.25">
      <c r="A8" s="44">
        <v>2</v>
      </c>
      <c r="B8" s="45" t="s">
        <v>153</v>
      </c>
      <c r="C8" s="45" t="s">
        <v>154</v>
      </c>
      <c r="D8" s="45" t="s">
        <v>197</v>
      </c>
      <c r="E8" s="44">
        <v>12</v>
      </c>
      <c r="F8" s="46">
        <f t="shared" ref="F8:F11" si="0">VLOOKUP(C8,$A$20:$C$22,3)</f>
        <v>15000</v>
      </c>
      <c r="G8" s="46">
        <f t="shared" ref="G8:G11" si="1">E8*F8</f>
        <v>180000</v>
      </c>
      <c r="H8" s="46">
        <f t="shared" ref="H8:H11" si="2">IF(E8&gt;24,5%*G8,0)</f>
        <v>0</v>
      </c>
      <c r="I8" s="46">
        <f t="shared" ref="I8:I11" si="3">G8+H8</f>
        <v>180000</v>
      </c>
      <c r="K8" s="22" t="s">
        <v>178</v>
      </c>
    </row>
    <row r="9" spans="1:11" x14ac:dyDescent="0.25">
      <c r="A9" s="44">
        <v>3</v>
      </c>
      <c r="B9" s="45" t="s">
        <v>155</v>
      </c>
      <c r="C9" s="45" t="s">
        <v>156</v>
      </c>
      <c r="D9" s="45" t="s">
        <v>195</v>
      </c>
      <c r="E9" s="44">
        <v>10</v>
      </c>
      <c r="F9" s="46">
        <f t="shared" si="0"/>
        <v>10000</v>
      </c>
      <c r="G9" s="46">
        <f t="shared" si="1"/>
        <v>100000</v>
      </c>
      <c r="H9" s="46">
        <f t="shared" si="2"/>
        <v>0</v>
      </c>
      <c r="I9" s="46">
        <f t="shared" si="3"/>
        <v>100000</v>
      </c>
      <c r="J9" s="22">
        <v>3</v>
      </c>
      <c r="K9" s="22" t="s">
        <v>179</v>
      </c>
    </row>
    <row r="10" spans="1:11" x14ac:dyDescent="0.25">
      <c r="A10" s="44">
        <v>4</v>
      </c>
      <c r="B10" s="45" t="s">
        <v>157</v>
      </c>
      <c r="C10" s="45" t="s">
        <v>154</v>
      </c>
      <c r="D10" s="45" t="s">
        <v>197</v>
      </c>
      <c r="E10" s="44">
        <v>24</v>
      </c>
      <c r="F10" s="46">
        <f t="shared" si="0"/>
        <v>15000</v>
      </c>
      <c r="G10" s="46">
        <f t="shared" si="1"/>
        <v>360000</v>
      </c>
      <c r="H10" s="46">
        <f t="shared" si="2"/>
        <v>0</v>
      </c>
      <c r="I10" s="46">
        <f t="shared" si="3"/>
        <v>360000</v>
      </c>
      <c r="J10" s="47" t="s">
        <v>180</v>
      </c>
      <c r="K10" s="22" t="s">
        <v>181</v>
      </c>
    </row>
    <row r="11" spans="1:11" x14ac:dyDescent="0.25">
      <c r="A11" s="44">
        <v>5</v>
      </c>
      <c r="B11" s="45" t="s">
        <v>158</v>
      </c>
      <c r="C11" s="45" t="s">
        <v>152</v>
      </c>
      <c r="D11" s="45" t="s">
        <v>194</v>
      </c>
      <c r="E11" s="44">
        <v>30</v>
      </c>
      <c r="F11" s="46">
        <f t="shared" si="0"/>
        <v>12500</v>
      </c>
      <c r="G11" s="46">
        <f t="shared" si="1"/>
        <v>375000</v>
      </c>
      <c r="H11" s="46">
        <f t="shared" si="2"/>
        <v>18750</v>
      </c>
      <c r="I11" s="46">
        <f t="shared" si="3"/>
        <v>393750</v>
      </c>
      <c r="J11" s="47" t="s">
        <v>180</v>
      </c>
      <c r="K11" s="22" t="s">
        <v>182</v>
      </c>
    </row>
    <row r="12" spans="1:11" x14ac:dyDescent="0.25">
      <c r="A12" s="161" t="s">
        <v>159</v>
      </c>
      <c r="B12" s="162"/>
      <c r="C12" s="162"/>
      <c r="D12" s="162"/>
      <c r="E12" s="162"/>
      <c r="F12" s="162"/>
      <c r="G12" s="162"/>
      <c r="H12" s="163"/>
      <c r="I12" s="46">
        <f>SUM(I7:I11)</f>
        <v>1375000</v>
      </c>
      <c r="J12" s="47" t="s">
        <v>180</v>
      </c>
      <c r="K12" s="22" t="s">
        <v>183</v>
      </c>
    </row>
    <row r="13" spans="1:11" x14ac:dyDescent="0.25">
      <c r="A13" s="161" t="s">
        <v>160</v>
      </c>
      <c r="B13" s="162"/>
      <c r="C13" s="162"/>
      <c r="D13" s="162"/>
      <c r="E13" s="162"/>
      <c r="F13" s="162"/>
      <c r="G13" s="162"/>
      <c r="H13" s="163"/>
      <c r="I13" s="46">
        <f>AVERAGE(I7:I11)</f>
        <v>275000</v>
      </c>
      <c r="J13" s="47" t="s">
        <v>180</v>
      </c>
      <c r="K13" s="22" t="s">
        <v>184</v>
      </c>
    </row>
    <row r="14" spans="1:11" x14ac:dyDescent="0.25">
      <c r="A14" s="161" t="s">
        <v>161</v>
      </c>
      <c r="B14" s="162"/>
      <c r="C14" s="162"/>
      <c r="D14" s="162"/>
      <c r="E14" s="162"/>
      <c r="F14" s="162"/>
      <c r="G14" s="162"/>
      <c r="H14" s="163"/>
      <c r="I14" s="46">
        <f>MAX(I7:I11)</f>
        <v>393750</v>
      </c>
      <c r="J14" s="47"/>
      <c r="K14" s="22" t="s">
        <v>185</v>
      </c>
    </row>
    <row r="15" spans="1:11" x14ac:dyDescent="0.25">
      <c r="A15" s="161" t="s">
        <v>162</v>
      </c>
      <c r="B15" s="162"/>
      <c r="C15" s="162"/>
      <c r="D15" s="162"/>
      <c r="E15" s="162"/>
      <c r="F15" s="162"/>
      <c r="G15" s="162"/>
      <c r="H15" s="163"/>
      <c r="I15" s="46">
        <f>MIN(I7:I11)</f>
        <v>100000</v>
      </c>
      <c r="J15" s="47" t="s">
        <v>180</v>
      </c>
      <c r="K15" s="22" t="s">
        <v>186</v>
      </c>
    </row>
    <row r="16" spans="1:11" x14ac:dyDescent="0.25">
      <c r="J16" s="47"/>
      <c r="K16" s="48" t="s">
        <v>187</v>
      </c>
    </row>
    <row r="17" spans="1:11" x14ac:dyDescent="0.25">
      <c r="A17" s="40" t="s">
        <v>188</v>
      </c>
      <c r="B17" s="40"/>
      <c r="C17" s="40"/>
      <c r="D17" s="40"/>
      <c r="E17" s="40"/>
      <c r="F17" s="40"/>
      <c r="G17" s="40"/>
      <c r="H17" s="40"/>
      <c r="I17" s="40"/>
      <c r="J17" s="47" t="s">
        <v>180</v>
      </c>
      <c r="K17" s="22" t="s">
        <v>189</v>
      </c>
    </row>
    <row r="18" spans="1:1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7"/>
      <c r="K18" s="48" t="s">
        <v>190</v>
      </c>
    </row>
    <row r="19" spans="1:11" ht="25.5" x14ac:dyDescent="0.25">
      <c r="A19" s="43" t="s">
        <v>191</v>
      </c>
      <c r="B19" s="42" t="s">
        <v>145</v>
      </c>
      <c r="C19" s="33" t="s">
        <v>192</v>
      </c>
      <c r="D19" s="40"/>
      <c r="E19" s="40"/>
      <c r="F19" s="40"/>
      <c r="G19" s="40"/>
      <c r="H19" s="40"/>
      <c r="I19" s="40"/>
      <c r="J19" s="40" t="s">
        <v>180</v>
      </c>
      <c r="K19" s="22" t="s">
        <v>193</v>
      </c>
    </row>
    <row r="20" spans="1:11" x14ac:dyDescent="0.25">
      <c r="A20" s="45" t="s">
        <v>152</v>
      </c>
      <c r="B20" s="45" t="s">
        <v>194</v>
      </c>
      <c r="C20" s="49">
        <v>12500</v>
      </c>
      <c r="D20" s="40"/>
      <c r="E20" s="40"/>
      <c r="F20" s="40"/>
      <c r="G20" s="40"/>
      <c r="H20" s="40"/>
      <c r="I20" s="40"/>
      <c r="J20" s="40"/>
    </row>
    <row r="21" spans="1:11" x14ac:dyDescent="0.25">
      <c r="A21" s="45" t="s">
        <v>156</v>
      </c>
      <c r="B21" s="45" t="s">
        <v>195</v>
      </c>
      <c r="C21" s="49">
        <v>10000</v>
      </c>
      <c r="D21" s="40"/>
      <c r="E21" s="40"/>
      <c r="F21" s="40"/>
      <c r="G21" s="40"/>
      <c r="H21" s="40"/>
      <c r="I21" s="40"/>
      <c r="J21" s="40"/>
      <c r="K21" s="22" t="s">
        <v>196</v>
      </c>
    </row>
    <row r="22" spans="1:11" x14ac:dyDescent="0.25">
      <c r="A22" s="45" t="s">
        <v>154</v>
      </c>
      <c r="B22" s="45" t="s">
        <v>197</v>
      </c>
      <c r="C22" s="49">
        <v>15000</v>
      </c>
      <c r="D22" s="40"/>
      <c r="E22" s="40"/>
      <c r="F22" s="40"/>
      <c r="G22" s="40"/>
      <c r="H22" s="40"/>
      <c r="J22" s="40"/>
      <c r="K22" s="48" t="s">
        <v>198</v>
      </c>
    </row>
    <row r="23" spans="1:11" x14ac:dyDescent="0.25">
      <c r="A23" s="40"/>
      <c r="B23" s="40"/>
      <c r="D23" s="40"/>
      <c r="E23" s="40"/>
      <c r="F23" s="40"/>
      <c r="G23" s="40"/>
      <c r="H23" s="40"/>
      <c r="I23" s="40"/>
      <c r="J23" s="40"/>
      <c r="K23" s="48" t="s">
        <v>199</v>
      </c>
    </row>
    <row r="24" spans="1:11" x14ac:dyDescent="0.25">
      <c r="A24" s="40"/>
      <c r="B24" s="40"/>
      <c r="D24" s="40"/>
      <c r="E24" s="40"/>
      <c r="F24" s="40"/>
      <c r="G24" s="40"/>
      <c r="H24" s="40"/>
      <c r="I24" s="40"/>
      <c r="J24" s="40"/>
      <c r="K24" s="22" t="s">
        <v>200</v>
      </c>
    </row>
    <row r="25" spans="1:11" x14ac:dyDescent="0.25">
      <c r="A25" s="77" t="s">
        <v>201</v>
      </c>
      <c r="B25" s="40"/>
      <c r="D25" s="40"/>
      <c r="E25" s="40"/>
      <c r="F25" s="40"/>
      <c r="G25" s="40"/>
      <c r="H25" s="40"/>
      <c r="I25" s="40"/>
      <c r="J25" s="40"/>
      <c r="K25" s="22" t="s">
        <v>202</v>
      </c>
    </row>
    <row r="26" spans="1:11" x14ac:dyDescent="0.25">
      <c r="A26" s="40"/>
      <c r="B26" s="40"/>
      <c r="D26" s="40"/>
      <c r="E26" s="40"/>
      <c r="F26" s="40"/>
      <c r="G26" s="40"/>
      <c r="H26" s="40"/>
      <c r="I26" s="40"/>
      <c r="J26" s="40"/>
      <c r="K26" s="22" t="s">
        <v>203</v>
      </c>
    </row>
    <row r="27" spans="1:11" ht="25.5" x14ac:dyDescent="0.25">
      <c r="A27" s="42" t="s">
        <v>36</v>
      </c>
      <c r="B27" s="42" t="s">
        <v>143</v>
      </c>
      <c r="C27" s="43" t="s">
        <v>144</v>
      </c>
      <c r="D27" s="43" t="s">
        <v>145</v>
      </c>
      <c r="E27" s="43" t="s">
        <v>146</v>
      </c>
      <c r="F27" s="43" t="s">
        <v>147</v>
      </c>
      <c r="G27" s="43" t="s">
        <v>148</v>
      </c>
      <c r="H27" s="42" t="s">
        <v>149</v>
      </c>
      <c r="I27" s="43" t="s">
        <v>150</v>
      </c>
      <c r="J27" s="40"/>
      <c r="K27" s="48" t="s">
        <v>204</v>
      </c>
    </row>
    <row r="28" spans="1:11" x14ac:dyDescent="0.25">
      <c r="A28" s="44">
        <v>1</v>
      </c>
      <c r="B28" s="45" t="s">
        <v>151</v>
      </c>
      <c r="C28" s="45" t="s">
        <v>152</v>
      </c>
      <c r="D28" s="45" t="str">
        <f>IF(C28="MB","MINI BUS",IF(C28="SD","SEDAN","TRUK"))</f>
        <v>MINI BUS</v>
      </c>
      <c r="E28" s="44">
        <v>26</v>
      </c>
      <c r="F28" s="46">
        <f>IF(C28="MB",12500,IF(C28="SD",10000,15000))</f>
        <v>12500</v>
      </c>
      <c r="G28" s="46">
        <f>E28*F28</f>
        <v>325000</v>
      </c>
      <c r="H28" s="46">
        <f>IF(E28&gt;24,5%*G28,0)</f>
        <v>16250</v>
      </c>
      <c r="I28" s="46">
        <f>G28+H28</f>
        <v>341250</v>
      </c>
      <c r="J28" s="40"/>
      <c r="K28" s="48" t="s">
        <v>205</v>
      </c>
    </row>
    <row r="29" spans="1:11" x14ac:dyDescent="0.25">
      <c r="A29" s="44">
        <v>2</v>
      </c>
      <c r="B29" s="45" t="s">
        <v>153</v>
      </c>
      <c r="C29" s="45" t="s">
        <v>154</v>
      </c>
      <c r="D29" s="45" t="str">
        <f t="shared" ref="D29:D32" si="4">IF(C29="MB","MINI BUS",IF(C29="SD","SEDAN","TRUK"))</f>
        <v>TRUK</v>
      </c>
      <c r="E29" s="44">
        <v>12</v>
      </c>
      <c r="F29" s="46">
        <f t="shared" ref="F29:F32" si="5">IF(C29="MB",12500,IF(C29="SD",10000,15000))</f>
        <v>15000</v>
      </c>
      <c r="G29" s="46">
        <f t="shared" ref="G29:G32" si="6">E29*F29</f>
        <v>180000</v>
      </c>
      <c r="H29" s="46">
        <f t="shared" ref="H29:H32" si="7">IF(E29&gt;24,5%*G29,0)</f>
        <v>0</v>
      </c>
      <c r="I29" s="46">
        <f t="shared" ref="I29:I32" si="8">G29+H29</f>
        <v>180000</v>
      </c>
      <c r="J29" s="40"/>
    </row>
    <row r="30" spans="1:11" x14ac:dyDescent="0.25">
      <c r="A30" s="44">
        <v>3</v>
      </c>
      <c r="B30" s="45" t="s">
        <v>155</v>
      </c>
      <c r="C30" s="45" t="s">
        <v>156</v>
      </c>
      <c r="D30" s="45" t="str">
        <f t="shared" si="4"/>
        <v>SEDAN</v>
      </c>
      <c r="E30" s="44">
        <v>10</v>
      </c>
      <c r="F30" s="46">
        <f t="shared" si="5"/>
        <v>10000</v>
      </c>
      <c r="G30" s="46">
        <f t="shared" si="6"/>
        <v>100000</v>
      </c>
      <c r="H30" s="46">
        <f t="shared" si="7"/>
        <v>0</v>
      </c>
      <c r="I30" s="46">
        <f t="shared" si="8"/>
        <v>100000</v>
      </c>
      <c r="J30" s="40">
        <v>4</v>
      </c>
      <c r="K30" s="22" t="s">
        <v>206</v>
      </c>
    </row>
    <row r="31" spans="1:11" x14ac:dyDescent="0.25">
      <c r="A31" s="44">
        <v>4</v>
      </c>
      <c r="B31" s="45" t="s">
        <v>157</v>
      </c>
      <c r="C31" s="45" t="s">
        <v>154</v>
      </c>
      <c r="D31" s="45" t="str">
        <f t="shared" si="4"/>
        <v>TRUK</v>
      </c>
      <c r="E31" s="44">
        <v>24</v>
      </c>
      <c r="F31" s="46">
        <f t="shared" si="5"/>
        <v>15000</v>
      </c>
      <c r="G31" s="46">
        <f t="shared" si="6"/>
        <v>360000</v>
      </c>
      <c r="H31" s="46">
        <f t="shared" si="7"/>
        <v>0</v>
      </c>
      <c r="I31" s="46">
        <f t="shared" si="8"/>
        <v>360000</v>
      </c>
      <c r="J31" s="40"/>
      <c r="K31" s="22" t="s">
        <v>207</v>
      </c>
    </row>
    <row r="32" spans="1:11" x14ac:dyDescent="0.25">
      <c r="A32" s="44">
        <v>5</v>
      </c>
      <c r="B32" s="45" t="s">
        <v>158</v>
      </c>
      <c r="C32" s="45" t="s">
        <v>152</v>
      </c>
      <c r="D32" s="45" t="str">
        <f t="shared" si="4"/>
        <v>MINI BUS</v>
      </c>
      <c r="E32" s="44">
        <v>30</v>
      </c>
      <c r="F32" s="46">
        <f t="shared" si="5"/>
        <v>12500</v>
      </c>
      <c r="G32" s="46">
        <f t="shared" si="6"/>
        <v>375000</v>
      </c>
      <c r="H32" s="46">
        <f t="shared" si="7"/>
        <v>18750</v>
      </c>
      <c r="I32" s="46">
        <f t="shared" si="8"/>
        <v>393750</v>
      </c>
      <c r="J32" s="40"/>
      <c r="K32" s="22" t="s">
        <v>208</v>
      </c>
    </row>
    <row r="33" spans="1:11" x14ac:dyDescent="0.25">
      <c r="A33" s="161" t="s">
        <v>159</v>
      </c>
      <c r="B33" s="162"/>
      <c r="C33" s="162"/>
      <c r="D33" s="162"/>
      <c r="E33" s="162"/>
      <c r="F33" s="162"/>
      <c r="G33" s="162"/>
      <c r="H33" s="163"/>
      <c r="I33" s="46">
        <f>SUM(I28:I32)</f>
        <v>1375000</v>
      </c>
      <c r="J33" s="40"/>
      <c r="K33" s="22" t="s">
        <v>209</v>
      </c>
    </row>
    <row r="34" spans="1:11" x14ac:dyDescent="0.25">
      <c r="A34" s="161" t="s">
        <v>160</v>
      </c>
      <c r="B34" s="162"/>
      <c r="C34" s="162"/>
      <c r="D34" s="162"/>
      <c r="E34" s="162"/>
      <c r="F34" s="162"/>
      <c r="G34" s="162"/>
      <c r="H34" s="163"/>
      <c r="I34" s="46">
        <f>AVERAGE(I28:I32)</f>
        <v>275000</v>
      </c>
      <c r="J34" s="40"/>
      <c r="K34" s="22" t="s">
        <v>210</v>
      </c>
    </row>
    <row r="35" spans="1:11" x14ac:dyDescent="0.25">
      <c r="A35" s="161" t="s">
        <v>161</v>
      </c>
      <c r="B35" s="162"/>
      <c r="C35" s="162"/>
      <c r="D35" s="162"/>
      <c r="E35" s="162"/>
      <c r="F35" s="162"/>
      <c r="G35" s="162"/>
      <c r="H35" s="163"/>
      <c r="I35" s="46">
        <f>MAX(I28:I32)</f>
        <v>393750</v>
      </c>
      <c r="J35" s="40"/>
      <c r="K35" s="22" t="s">
        <v>211</v>
      </c>
    </row>
    <row r="36" spans="1:11" x14ac:dyDescent="0.25">
      <c r="A36" s="161" t="s">
        <v>162</v>
      </c>
      <c r="B36" s="162"/>
      <c r="C36" s="162"/>
      <c r="D36" s="162"/>
      <c r="E36" s="162"/>
      <c r="F36" s="162"/>
      <c r="G36" s="162"/>
      <c r="H36" s="163"/>
      <c r="I36" s="46">
        <f>MIN(I28:I32)</f>
        <v>100000</v>
      </c>
      <c r="J36" s="40"/>
    </row>
    <row r="38" spans="1:11" x14ac:dyDescent="0.25">
      <c r="K38" s="22" t="s">
        <v>212</v>
      </c>
    </row>
    <row r="39" spans="1:11" x14ac:dyDescent="0.25">
      <c r="K39" s="22" t="s">
        <v>213</v>
      </c>
    </row>
    <row r="40" spans="1:11" x14ac:dyDescent="0.25">
      <c r="K40" s="22" t="s">
        <v>214</v>
      </c>
    </row>
    <row r="41" spans="1:11" x14ac:dyDescent="0.25">
      <c r="K41" s="22" t="s">
        <v>215</v>
      </c>
    </row>
    <row r="43" spans="1:11" x14ac:dyDescent="0.25">
      <c r="K43" s="22" t="s">
        <v>298</v>
      </c>
    </row>
    <row r="44" spans="1:11" x14ac:dyDescent="0.25">
      <c r="K44" s="22" t="s">
        <v>216</v>
      </c>
    </row>
    <row r="45" spans="1:11" x14ac:dyDescent="0.25">
      <c r="K45" s="22" t="s">
        <v>217</v>
      </c>
    </row>
    <row r="46" spans="1:11" x14ac:dyDescent="0.25">
      <c r="K46" s="22" t="s">
        <v>218</v>
      </c>
    </row>
    <row r="47" spans="1:11" x14ac:dyDescent="0.25">
      <c r="K47" s="22" t="s">
        <v>219</v>
      </c>
    </row>
    <row r="48" spans="1:11" x14ac:dyDescent="0.25">
      <c r="K48" s="22" t="s">
        <v>220</v>
      </c>
    </row>
    <row r="49" spans="11:11" x14ac:dyDescent="0.25">
      <c r="K49" s="22" t="s">
        <v>221</v>
      </c>
    </row>
    <row r="50" spans="11:11" x14ac:dyDescent="0.25">
      <c r="K50" s="22" t="s">
        <v>222</v>
      </c>
    </row>
    <row r="51" spans="11:11" x14ac:dyDescent="0.25">
      <c r="K51" s="22" t="s">
        <v>223</v>
      </c>
    </row>
    <row r="54" spans="11:11" x14ac:dyDescent="0.25">
      <c r="K54" s="22" t="s">
        <v>224</v>
      </c>
    </row>
  </sheetData>
  <mergeCells count="11">
    <mergeCell ref="A15:H15"/>
    <mergeCell ref="A33:H33"/>
    <mergeCell ref="A34:H34"/>
    <mergeCell ref="A35:H35"/>
    <mergeCell ref="A36:H36"/>
    <mergeCell ref="A14:H14"/>
    <mergeCell ref="B2:D2"/>
    <mergeCell ref="B3:D3"/>
    <mergeCell ref="B4:D4"/>
    <mergeCell ref="A12:H12"/>
    <mergeCell ref="A13:H13"/>
  </mergeCells>
  <pageMargins left="0.2" right="0.13" top="0.75" bottom="0.75" header="0.3" footer="0.3"/>
  <pageSetup paperSize="9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7F91E-9ADF-4FF2-A399-D20A9751E18E}">
  <dimension ref="A4:O37"/>
  <sheetViews>
    <sheetView zoomScale="90" zoomScaleNormal="90" workbookViewId="0">
      <selection activeCell="G6" sqref="G6:G19"/>
    </sheetView>
  </sheetViews>
  <sheetFormatPr defaultColWidth="9.140625" defaultRowHeight="15" x14ac:dyDescent="0.25"/>
  <cols>
    <col min="1" max="1" width="4.140625" style="22" customWidth="1"/>
    <col min="2" max="4" width="16.5703125" style="22" customWidth="1"/>
    <col min="5" max="5" width="14.140625" style="22" customWidth="1"/>
    <col min="6" max="6" width="21" style="22" customWidth="1"/>
    <col min="7" max="7" width="19.28515625" style="22" customWidth="1"/>
    <col min="8" max="9" width="16.5703125" style="22" customWidth="1"/>
    <col min="10" max="10" width="14.42578125" style="22" customWidth="1"/>
    <col min="11" max="11" width="15.5703125" style="22" customWidth="1"/>
    <col min="12" max="12" width="20.28515625" style="22" customWidth="1"/>
    <col min="13" max="16384" width="9.140625" style="22"/>
  </cols>
  <sheetData>
    <row r="4" spans="1:12" x14ac:dyDescent="0.25">
      <c r="A4" s="176" t="s">
        <v>36</v>
      </c>
      <c r="B4" s="176" t="s">
        <v>77</v>
      </c>
      <c r="C4" s="176" t="s">
        <v>78</v>
      </c>
      <c r="D4" s="176" t="s">
        <v>79</v>
      </c>
      <c r="E4" s="176" t="s">
        <v>80</v>
      </c>
      <c r="F4" s="176" t="s">
        <v>81</v>
      </c>
      <c r="G4" s="176" t="s">
        <v>82</v>
      </c>
      <c r="H4" s="176" t="s">
        <v>3</v>
      </c>
      <c r="I4" s="177" t="s">
        <v>4</v>
      </c>
      <c r="J4" s="177"/>
      <c r="K4" s="176" t="s">
        <v>83</v>
      </c>
      <c r="L4" s="176" t="s">
        <v>84</v>
      </c>
    </row>
    <row r="5" spans="1:12" x14ac:dyDescent="0.25">
      <c r="A5" s="176"/>
      <c r="B5" s="176"/>
      <c r="C5" s="176"/>
      <c r="D5" s="176"/>
      <c r="E5" s="176"/>
      <c r="F5" s="176"/>
      <c r="G5" s="176"/>
      <c r="H5" s="176"/>
      <c r="I5" s="23" t="s">
        <v>85</v>
      </c>
      <c r="J5" s="23" t="s">
        <v>81</v>
      </c>
      <c r="K5" s="176"/>
      <c r="L5" s="176"/>
    </row>
    <row r="6" spans="1:12" x14ac:dyDescent="0.25">
      <c r="A6" s="24">
        <v>1</v>
      </c>
      <c r="B6" s="25" t="s">
        <v>86</v>
      </c>
      <c r="C6" s="24" t="s">
        <v>87</v>
      </c>
      <c r="D6" s="26"/>
      <c r="E6" s="26"/>
      <c r="F6" s="26"/>
      <c r="G6" s="26">
        <v>6</v>
      </c>
      <c r="H6" s="27"/>
      <c r="I6" s="27"/>
      <c r="J6" s="27"/>
      <c r="K6" s="27"/>
      <c r="L6" s="27"/>
    </row>
    <row r="7" spans="1:12" x14ac:dyDescent="0.25">
      <c r="A7" s="24">
        <v>2</v>
      </c>
      <c r="B7" s="25" t="s">
        <v>88</v>
      </c>
      <c r="C7" s="24" t="s">
        <v>89</v>
      </c>
      <c r="D7" s="26"/>
      <c r="E7" s="26"/>
      <c r="F7" s="26"/>
      <c r="G7" s="26">
        <v>4</v>
      </c>
      <c r="H7" s="27"/>
      <c r="I7" s="27"/>
      <c r="J7" s="27"/>
      <c r="K7" s="27"/>
      <c r="L7" s="27"/>
    </row>
    <row r="8" spans="1:12" x14ac:dyDescent="0.25">
      <c r="A8" s="24">
        <v>3</v>
      </c>
      <c r="B8" s="25" t="s">
        <v>90</v>
      </c>
      <c r="C8" s="24" t="s">
        <v>91</v>
      </c>
      <c r="D8" s="26"/>
      <c r="E8" s="26"/>
      <c r="F8" s="26"/>
      <c r="G8" s="26">
        <v>6</v>
      </c>
      <c r="H8" s="27"/>
      <c r="I8" s="27"/>
      <c r="J8" s="27"/>
      <c r="K8" s="27"/>
      <c r="L8" s="27"/>
    </row>
    <row r="9" spans="1:12" x14ac:dyDescent="0.25">
      <c r="A9" s="24">
        <v>4</v>
      </c>
      <c r="B9" s="25" t="s">
        <v>92</v>
      </c>
      <c r="C9" s="24" t="s">
        <v>93</v>
      </c>
      <c r="D9" s="26"/>
      <c r="E9" s="26"/>
      <c r="F9" s="26"/>
      <c r="G9" s="26">
        <v>7</v>
      </c>
      <c r="H9" s="27"/>
      <c r="I9" s="27"/>
      <c r="J9" s="27"/>
      <c r="K9" s="27"/>
      <c r="L9" s="27"/>
    </row>
    <row r="10" spans="1:12" x14ac:dyDescent="0.25">
      <c r="A10" s="24">
        <v>5</v>
      </c>
      <c r="B10" s="25" t="s">
        <v>94</v>
      </c>
      <c r="C10" s="24" t="s">
        <v>95</v>
      </c>
      <c r="D10" s="26"/>
      <c r="E10" s="26"/>
      <c r="F10" s="26"/>
      <c r="G10" s="26">
        <v>9</v>
      </c>
      <c r="H10" s="27"/>
      <c r="I10" s="27"/>
      <c r="J10" s="27"/>
      <c r="K10" s="27"/>
      <c r="L10" s="27"/>
    </row>
    <row r="11" spans="1:12" x14ac:dyDescent="0.25">
      <c r="A11" s="24">
        <v>6</v>
      </c>
      <c r="B11" s="25" t="s">
        <v>96</v>
      </c>
      <c r="C11" s="24" t="s">
        <v>97</v>
      </c>
      <c r="D11" s="26"/>
      <c r="E11" s="26"/>
      <c r="F11" s="26"/>
      <c r="G11" s="26">
        <v>1</v>
      </c>
      <c r="H11" s="27"/>
      <c r="I11" s="27"/>
      <c r="J11" s="27"/>
      <c r="K11" s="27"/>
      <c r="L11" s="27"/>
    </row>
    <row r="12" spans="1:12" x14ac:dyDescent="0.25">
      <c r="A12" s="24">
        <v>7</v>
      </c>
      <c r="B12" s="25" t="s">
        <v>98</v>
      </c>
      <c r="C12" s="24" t="s">
        <v>99</v>
      </c>
      <c r="D12" s="26"/>
      <c r="E12" s="26"/>
      <c r="F12" s="26"/>
      <c r="G12" s="26">
        <v>3</v>
      </c>
      <c r="H12" s="27"/>
      <c r="I12" s="27"/>
      <c r="J12" s="27"/>
      <c r="K12" s="27"/>
      <c r="L12" s="27"/>
    </row>
    <row r="13" spans="1:12" x14ac:dyDescent="0.25">
      <c r="A13" s="24">
        <v>8</v>
      </c>
      <c r="B13" s="25" t="s">
        <v>100</v>
      </c>
      <c r="C13" s="24" t="s">
        <v>101</v>
      </c>
      <c r="D13" s="26"/>
      <c r="E13" s="26"/>
      <c r="F13" s="26"/>
      <c r="G13" s="26">
        <v>5</v>
      </c>
      <c r="H13" s="27"/>
      <c r="I13" s="27"/>
      <c r="J13" s="27"/>
      <c r="K13" s="27"/>
      <c r="L13" s="27"/>
    </row>
    <row r="14" spans="1:12" x14ac:dyDescent="0.25">
      <c r="A14" s="24">
        <v>9</v>
      </c>
      <c r="B14" s="25" t="s">
        <v>102</v>
      </c>
      <c r="C14" s="24" t="s">
        <v>103</v>
      </c>
      <c r="D14" s="26"/>
      <c r="E14" s="26"/>
      <c r="F14" s="26"/>
      <c r="G14" s="26">
        <v>8</v>
      </c>
      <c r="H14" s="27"/>
      <c r="I14" s="27"/>
      <c r="J14" s="27"/>
      <c r="K14" s="27"/>
      <c r="L14" s="27"/>
    </row>
    <row r="15" spans="1:12" x14ac:dyDescent="0.25">
      <c r="A15" s="24">
        <v>10</v>
      </c>
      <c r="B15" s="25" t="s">
        <v>14</v>
      </c>
      <c r="C15" s="24" t="s">
        <v>104</v>
      </c>
      <c r="D15" s="26"/>
      <c r="E15" s="26"/>
      <c r="F15" s="26"/>
      <c r="G15" s="26">
        <v>7</v>
      </c>
      <c r="H15" s="27"/>
      <c r="I15" s="27"/>
      <c r="J15" s="27"/>
      <c r="K15" s="27"/>
      <c r="L15" s="27"/>
    </row>
    <row r="16" spans="1:12" x14ac:dyDescent="0.25">
      <c r="A16" s="24">
        <v>11</v>
      </c>
      <c r="B16" s="25" t="s">
        <v>105</v>
      </c>
      <c r="C16" s="24" t="s">
        <v>106</v>
      </c>
      <c r="D16" s="26"/>
      <c r="E16" s="26"/>
      <c r="F16" s="26"/>
      <c r="G16" s="26">
        <v>9</v>
      </c>
      <c r="H16" s="27"/>
      <c r="I16" s="27"/>
      <c r="J16" s="27"/>
      <c r="K16" s="27"/>
      <c r="L16" s="27"/>
    </row>
    <row r="17" spans="1:15" x14ac:dyDescent="0.25">
      <c r="A17" s="24">
        <v>12</v>
      </c>
      <c r="B17" s="25" t="s">
        <v>107</v>
      </c>
      <c r="C17" s="24" t="s">
        <v>108</v>
      </c>
      <c r="D17" s="26"/>
      <c r="E17" s="26"/>
      <c r="F17" s="26"/>
      <c r="G17" s="26">
        <v>2</v>
      </c>
      <c r="H17" s="27"/>
      <c r="I17" s="27"/>
      <c r="J17" s="27"/>
      <c r="K17" s="27"/>
      <c r="L17" s="27"/>
    </row>
    <row r="18" spans="1:15" x14ac:dyDescent="0.25">
      <c r="A18" s="24">
        <v>13</v>
      </c>
      <c r="B18" s="25" t="s">
        <v>109</v>
      </c>
      <c r="C18" s="24" t="s">
        <v>110</v>
      </c>
      <c r="D18" s="26"/>
      <c r="E18" s="26"/>
      <c r="F18" s="26"/>
      <c r="G18" s="26">
        <v>1</v>
      </c>
      <c r="H18" s="27"/>
      <c r="I18" s="27"/>
      <c r="J18" s="27"/>
      <c r="K18" s="27"/>
      <c r="L18" s="27"/>
    </row>
    <row r="19" spans="1:15" x14ac:dyDescent="0.25">
      <c r="A19" s="24">
        <v>14</v>
      </c>
      <c r="B19" s="25" t="s">
        <v>111</v>
      </c>
      <c r="C19" s="24" t="s">
        <v>97</v>
      </c>
      <c r="D19" s="26"/>
      <c r="E19" s="26"/>
      <c r="F19" s="26"/>
      <c r="G19" s="26">
        <v>8</v>
      </c>
      <c r="H19" s="27"/>
      <c r="I19" s="27"/>
      <c r="J19" s="27"/>
      <c r="K19" s="27"/>
      <c r="L19" s="27"/>
    </row>
    <row r="20" spans="1:15" x14ac:dyDescent="0.25">
      <c r="A20" s="179" t="s">
        <v>112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27"/>
    </row>
    <row r="21" spans="1:15" x14ac:dyDescent="0.25">
      <c r="A21" s="179" t="s">
        <v>113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27"/>
    </row>
    <row r="22" spans="1:15" x14ac:dyDescent="0.25">
      <c r="A22" s="179" t="s">
        <v>114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27"/>
    </row>
    <row r="23" spans="1:15" x14ac:dyDescent="0.25">
      <c r="A23" s="179" t="s">
        <v>115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27"/>
    </row>
    <row r="24" spans="1:15" x14ac:dyDescent="0.25">
      <c r="A24" s="179" t="s">
        <v>116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27"/>
    </row>
    <row r="25" spans="1:15" x14ac:dyDescent="0.25">
      <c r="A25" s="28"/>
      <c r="B25" s="28"/>
      <c r="C25" s="28"/>
      <c r="D25" s="28"/>
      <c r="E25" s="28"/>
      <c r="F25" s="28"/>
      <c r="G25" s="28"/>
      <c r="H25" s="28"/>
      <c r="I25" s="29" t="s">
        <v>117</v>
      </c>
      <c r="J25" s="28"/>
      <c r="K25" s="28"/>
      <c r="L25" s="28"/>
    </row>
    <row r="26" spans="1:15" x14ac:dyDescent="0.25">
      <c r="I26" s="180" t="s">
        <v>118</v>
      </c>
      <c r="J26" s="180"/>
      <c r="K26" s="180"/>
      <c r="L26" s="180"/>
      <c r="M26" s="180"/>
      <c r="N26" s="180"/>
      <c r="O26" s="180"/>
    </row>
    <row r="27" spans="1:15" x14ac:dyDescent="0.25">
      <c r="B27" s="24" t="s">
        <v>119</v>
      </c>
      <c r="C27" s="24" t="s">
        <v>81</v>
      </c>
      <c r="E27" s="24" t="s">
        <v>120</v>
      </c>
      <c r="F27" s="24" t="s">
        <v>121</v>
      </c>
      <c r="G27" s="24" t="s">
        <v>122</v>
      </c>
      <c r="I27" s="180" t="s">
        <v>123</v>
      </c>
      <c r="J27" s="180"/>
      <c r="K27" s="180"/>
      <c r="L27" s="180"/>
      <c r="M27" s="180"/>
      <c r="N27" s="180"/>
      <c r="O27" s="180"/>
    </row>
    <row r="28" spans="1:15" x14ac:dyDescent="0.25">
      <c r="B28" s="24">
        <v>1111</v>
      </c>
      <c r="C28" s="24" t="s">
        <v>124</v>
      </c>
      <c r="E28" s="24" t="s">
        <v>80</v>
      </c>
      <c r="F28" s="24" t="s">
        <v>125</v>
      </c>
      <c r="G28" s="24" t="s">
        <v>126</v>
      </c>
      <c r="I28" s="181" t="s">
        <v>127</v>
      </c>
      <c r="J28" s="181"/>
      <c r="K28" s="181"/>
      <c r="L28" s="181"/>
      <c r="M28" s="181"/>
      <c r="N28" s="181"/>
      <c r="O28" s="181"/>
    </row>
    <row r="29" spans="1:15" x14ac:dyDescent="0.25">
      <c r="B29" s="24">
        <v>1221</v>
      </c>
      <c r="C29" s="24" t="s">
        <v>128</v>
      </c>
      <c r="I29" s="181" t="s">
        <v>129</v>
      </c>
      <c r="J29" s="181"/>
      <c r="K29" s="181"/>
      <c r="L29" s="181"/>
      <c r="M29" s="181"/>
      <c r="N29" s="181"/>
      <c r="O29" s="181"/>
    </row>
    <row r="30" spans="1:15" x14ac:dyDescent="0.25">
      <c r="B30" s="24">
        <v>1331</v>
      </c>
      <c r="C30" s="24" t="s">
        <v>130</v>
      </c>
      <c r="E30" s="24" t="s">
        <v>120</v>
      </c>
      <c r="F30" s="24" t="s">
        <v>131</v>
      </c>
      <c r="G30" s="24" t="s">
        <v>132</v>
      </c>
      <c r="I30" s="182" t="s">
        <v>133</v>
      </c>
      <c r="J30" s="182"/>
      <c r="K30" s="182"/>
      <c r="L30" s="182"/>
      <c r="M30" s="182"/>
      <c r="N30" s="182"/>
      <c r="O30" s="182"/>
    </row>
    <row r="31" spans="1:15" x14ac:dyDescent="0.25">
      <c r="B31" s="24">
        <v>1441</v>
      </c>
      <c r="C31" s="24" t="s">
        <v>134</v>
      </c>
      <c r="E31" s="24" t="s">
        <v>79</v>
      </c>
      <c r="F31" s="24" t="s">
        <v>135</v>
      </c>
      <c r="G31" s="24" t="s">
        <v>136</v>
      </c>
      <c r="I31" s="183" t="s">
        <v>137</v>
      </c>
      <c r="J31" s="183"/>
      <c r="K31" s="183"/>
      <c r="L31" s="183"/>
      <c r="M31" s="183"/>
      <c r="N31" s="183"/>
      <c r="O31" s="183"/>
    </row>
    <row r="32" spans="1:15" x14ac:dyDescent="0.25">
      <c r="I32" s="184" t="s">
        <v>138</v>
      </c>
      <c r="J32" s="184"/>
      <c r="K32" s="184"/>
      <c r="L32" s="184"/>
      <c r="M32" s="184"/>
      <c r="N32" s="184"/>
      <c r="O32" s="184"/>
    </row>
    <row r="33" spans="2:15" x14ac:dyDescent="0.25">
      <c r="B33" s="24" t="s">
        <v>81</v>
      </c>
      <c r="C33" s="24" t="s">
        <v>3</v>
      </c>
      <c r="I33" s="178" t="s">
        <v>139</v>
      </c>
      <c r="J33" s="178"/>
      <c r="K33" s="178"/>
      <c r="L33" s="178"/>
      <c r="M33" s="178"/>
      <c r="N33" s="178"/>
      <c r="O33" s="178"/>
    </row>
    <row r="34" spans="2:15" x14ac:dyDescent="0.25">
      <c r="B34" s="24" t="s">
        <v>134</v>
      </c>
      <c r="C34" s="30">
        <v>9000000</v>
      </c>
    </row>
    <row r="35" spans="2:15" x14ac:dyDescent="0.25">
      <c r="B35" s="24" t="s">
        <v>130</v>
      </c>
      <c r="C35" s="30">
        <v>7500000</v>
      </c>
    </row>
    <row r="36" spans="2:15" x14ac:dyDescent="0.25">
      <c r="B36" s="24" t="s">
        <v>128</v>
      </c>
      <c r="C36" s="30">
        <v>5000000</v>
      </c>
    </row>
    <row r="37" spans="2:15" x14ac:dyDescent="0.25">
      <c r="B37" s="24" t="s">
        <v>124</v>
      </c>
      <c r="C37" s="30">
        <v>3500000</v>
      </c>
    </row>
  </sheetData>
  <mergeCells count="24">
    <mergeCell ref="L4:L5"/>
    <mergeCell ref="I33:O33"/>
    <mergeCell ref="A21:K21"/>
    <mergeCell ref="A22:K22"/>
    <mergeCell ref="A23:K23"/>
    <mergeCell ref="A24:K24"/>
    <mergeCell ref="I26:O26"/>
    <mergeCell ref="I27:O27"/>
    <mergeCell ref="I28:O28"/>
    <mergeCell ref="I29:O29"/>
    <mergeCell ref="I30:O30"/>
    <mergeCell ref="I31:O31"/>
    <mergeCell ref="I32:O32"/>
    <mergeCell ref="A20:K20"/>
    <mergeCell ref="A4:A5"/>
    <mergeCell ref="B4:B5"/>
    <mergeCell ref="H4:H5"/>
    <mergeCell ref="I4:J4"/>
    <mergeCell ref="K4:K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5B4ED-5A66-46D9-95F2-C9ABA60CC41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4F25-2354-4E40-889B-983542C09BCF}">
  <dimension ref="A1:H37"/>
  <sheetViews>
    <sheetView zoomScale="85" zoomScaleNormal="85" workbookViewId="0">
      <selection activeCell="H23" sqref="H23:H24"/>
    </sheetView>
  </sheetViews>
  <sheetFormatPr defaultRowHeight="15" x14ac:dyDescent="0.25"/>
  <cols>
    <col min="1" max="1" width="6" customWidth="1"/>
    <col min="2" max="2" width="12" customWidth="1"/>
    <col min="3" max="3" width="38.85546875" bestFit="1" customWidth="1"/>
    <col min="4" max="4" width="9.7109375" customWidth="1"/>
    <col min="5" max="5" width="12.28515625" customWidth="1"/>
    <col min="6" max="6" width="20.85546875" customWidth="1"/>
    <col min="7" max="7" width="15.85546875" bestFit="1" customWidth="1"/>
    <col min="8" max="8" width="25.28515625" bestFit="1" customWidth="1"/>
  </cols>
  <sheetData>
    <row r="1" spans="1:8" x14ac:dyDescent="0.25">
      <c r="A1" s="115" t="s">
        <v>32</v>
      </c>
      <c r="B1" s="115"/>
      <c r="C1" s="115"/>
      <c r="D1" s="115"/>
      <c r="E1" s="115"/>
      <c r="F1" s="115"/>
      <c r="G1" s="115"/>
      <c r="H1" s="115"/>
    </row>
    <row r="2" spans="1:8" x14ac:dyDescent="0.25">
      <c r="A2" s="116" t="s">
        <v>33</v>
      </c>
      <c r="B2" s="116"/>
      <c r="C2" s="116"/>
      <c r="D2" s="116"/>
      <c r="E2" s="116"/>
      <c r="F2" s="116"/>
      <c r="G2" s="116"/>
      <c r="H2" s="116"/>
    </row>
    <row r="3" spans="1:8" x14ac:dyDescent="0.25">
      <c r="A3" s="116" t="s">
        <v>34</v>
      </c>
      <c r="B3" s="116"/>
      <c r="C3" s="116"/>
      <c r="D3" s="116"/>
      <c r="E3" s="116"/>
      <c r="F3" s="116"/>
      <c r="G3" s="116"/>
      <c r="H3" s="116"/>
    </row>
    <row r="4" spans="1:8" x14ac:dyDescent="0.25">
      <c r="A4" s="116" t="s">
        <v>35</v>
      </c>
      <c r="B4" s="116"/>
      <c r="C4" s="116"/>
      <c r="D4" s="116"/>
      <c r="E4" s="116"/>
      <c r="F4" s="116"/>
      <c r="G4" s="116"/>
      <c r="H4" s="116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x14ac:dyDescent="0.25">
      <c r="A6" s="117" t="s">
        <v>36</v>
      </c>
      <c r="B6" s="117" t="s">
        <v>37</v>
      </c>
      <c r="C6" s="117" t="s">
        <v>38</v>
      </c>
      <c r="D6" s="118" t="s">
        <v>39</v>
      </c>
      <c r="E6" s="118"/>
      <c r="F6" s="14" t="s">
        <v>40</v>
      </c>
      <c r="G6" s="117" t="s">
        <v>41</v>
      </c>
      <c r="H6" s="117" t="s">
        <v>42</v>
      </c>
    </row>
    <row r="7" spans="1:8" x14ac:dyDescent="0.25">
      <c r="A7" s="117"/>
      <c r="B7" s="117"/>
      <c r="C7" s="117"/>
      <c r="D7" s="14" t="s">
        <v>43</v>
      </c>
      <c r="E7" s="14" t="s">
        <v>44</v>
      </c>
      <c r="F7" s="14" t="s">
        <v>44</v>
      </c>
      <c r="G7" s="117"/>
      <c r="H7" s="117"/>
    </row>
    <row r="8" spans="1:8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8" x14ac:dyDescent="0.25">
      <c r="A9" s="16" t="s">
        <v>45</v>
      </c>
      <c r="B9" s="119" t="s">
        <v>46</v>
      </c>
      <c r="C9" s="120"/>
      <c r="D9" s="120"/>
      <c r="E9" s="120"/>
      <c r="F9" s="120"/>
      <c r="G9" s="120"/>
      <c r="H9" s="121"/>
    </row>
    <row r="10" spans="1:8" x14ac:dyDescent="0.25">
      <c r="A10" s="16">
        <v>1</v>
      </c>
      <c r="B10" s="17">
        <v>43046</v>
      </c>
      <c r="C10" s="16" t="s">
        <v>47</v>
      </c>
      <c r="D10" s="1">
        <v>1</v>
      </c>
      <c r="E10" s="16" t="s">
        <v>48</v>
      </c>
      <c r="F10" s="18">
        <v>45000</v>
      </c>
      <c r="G10" s="19"/>
      <c r="H10" s="114">
        <f>SUM(G10:G14)</f>
        <v>0</v>
      </c>
    </row>
    <row r="11" spans="1:8" x14ac:dyDescent="0.25">
      <c r="A11" s="16">
        <v>2</v>
      </c>
      <c r="B11" s="17">
        <v>43046</v>
      </c>
      <c r="C11" s="16" t="s">
        <v>49</v>
      </c>
      <c r="D11" s="1">
        <v>1</v>
      </c>
      <c r="E11" s="16" t="s">
        <v>50</v>
      </c>
      <c r="F11" s="18">
        <v>20500</v>
      </c>
      <c r="G11" s="19"/>
      <c r="H11" s="114"/>
    </row>
    <row r="12" spans="1:8" x14ac:dyDescent="0.25">
      <c r="A12" s="16">
        <v>3</v>
      </c>
      <c r="B12" s="17">
        <v>43046</v>
      </c>
      <c r="C12" s="16" t="s">
        <v>51</v>
      </c>
      <c r="D12" s="1">
        <v>2</v>
      </c>
      <c r="E12" s="16" t="s">
        <v>52</v>
      </c>
      <c r="F12" s="18">
        <v>3500</v>
      </c>
      <c r="G12" s="19"/>
      <c r="H12" s="114"/>
    </row>
    <row r="13" spans="1:8" x14ac:dyDescent="0.25">
      <c r="A13" s="16">
        <v>4</v>
      </c>
      <c r="B13" s="17">
        <v>43046</v>
      </c>
      <c r="C13" s="16" t="s">
        <v>53</v>
      </c>
      <c r="D13" s="1">
        <v>1</v>
      </c>
      <c r="E13" s="16" t="s">
        <v>54</v>
      </c>
      <c r="F13" s="18">
        <v>4400</v>
      </c>
      <c r="G13" s="19"/>
      <c r="H13" s="114"/>
    </row>
    <row r="14" spans="1:8" x14ac:dyDescent="0.25">
      <c r="A14" s="16">
        <v>5</v>
      </c>
      <c r="B14" s="17">
        <v>43046</v>
      </c>
      <c r="C14" s="16" t="s">
        <v>55</v>
      </c>
      <c r="D14" s="1">
        <v>1</v>
      </c>
      <c r="E14" s="16" t="s">
        <v>48</v>
      </c>
      <c r="F14" s="18">
        <v>35000</v>
      </c>
      <c r="G14" s="19"/>
      <c r="H14" s="114"/>
    </row>
    <row r="15" spans="1:8" x14ac:dyDescent="0.25">
      <c r="A15" s="16" t="s">
        <v>56</v>
      </c>
      <c r="B15" s="119" t="s">
        <v>57</v>
      </c>
      <c r="C15" s="120"/>
      <c r="D15" s="120"/>
      <c r="E15" s="120"/>
      <c r="F15" s="120"/>
      <c r="G15" s="120"/>
      <c r="H15" s="121"/>
    </row>
    <row r="16" spans="1:8" x14ac:dyDescent="0.25">
      <c r="A16" s="16">
        <v>1</v>
      </c>
      <c r="B16" s="17">
        <v>43047</v>
      </c>
      <c r="C16" s="16" t="s">
        <v>58</v>
      </c>
      <c r="D16" s="15">
        <v>150</v>
      </c>
      <c r="E16" s="16" t="s">
        <v>59</v>
      </c>
      <c r="F16" s="18">
        <v>300</v>
      </c>
      <c r="G16" s="19"/>
      <c r="H16" s="114">
        <f>SUM(G16:G21)</f>
        <v>0</v>
      </c>
    </row>
    <row r="17" spans="1:8" x14ac:dyDescent="0.25">
      <c r="A17" s="16">
        <v>2</v>
      </c>
      <c r="B17" s="17">
        <v>43050</v>
      </c>
      <c r="C17" s="16" t="s">
        <v>58</v>
      </c>
      <c r="D17" s="15">
        <v>60</v>
      </c>
      <c r="E17" s="16" t="s">
        <v>59</v>
      </c>
      <c r="F17" s="18">
        <v>300</v>
      </c>
      <c r="G17" s="19"/>
      <c r="H17" s="114"/>
    </row>
    <row r="18" spans="1:8" x14ac:dyDescent="0.25">
      <c r="A18" s="16">
        <v>3</v>
      </c>
      <c r="B18" s="17">
        <v>43050</v>
      </c>
      <c r="C18" s="16" t="s">
        <v>60</v>
      </c>
      <c r="D18" s="15">
        <v>1</v>
      </c>
      <c r="E18" s="16" t="s">
        <v>50</v>
      </c>
      <c r="F18" s="18">
        <v>10000</v>
      </c>
      <c r="G18" s="19"/>
      <c r="H18" s="114"/>
    </row>
    <row r="19" spans="1:8" x14ac:dyDescent="0.25">
      <c r="A19" s="16">
        <v>4</v>
      </c>
      <c r="B19" s="17">
        <v>43054</v>
      </c>
      <c r="C19" s="16" t="s">
        <v>58</v>
      </c>
      <c r="D19" s="15">
        <v>40</v>
      </c>
      <c r="E19" s="16" t="s">
        <v>59</v>
      </c>
      <c r="F19" s="18">
        <v>300</v>
      </c>
      <c r="G19" s="19"/>
      <c r="H19" s="114"/>
    </row>
    <row r="20" spans="1:8" x14ac:dyDescent="0.25">
      <c r="A20" s="16">
        <v>5</v>
      </c>
      <c r="B20" s="17">
        <v>43059</v>
      </c>
      <c r="C20" s="16" t="s">
        <v>58</v>
      </c>
      <c r="D20" s="15">
        <v>15</v>
      </c>
      <c r="E20" s="16" t="s">
        <v>59</v>
      </c>
      <c r="F20" s="18">
        <v>300</v>
      </c>
      <c r="G20" s="19"/>
      <c r="H20" s="114"/>
    </row>
    <row r="21" spans="1:8" x14ac:dyDescent="0.25">
      <c r="A21" s="16">
        <v>6</v>
      </c>
      <c r="B21" s="17">
        <v>43059</v>
      </c>
      <c r="C21" s="16" t="s">
        <v>60</v>
      </c>
      <c r="D21" s="15">
        <v>1</v>
      </c>
      <c r="E21" s="16" t="s">
        <v>50</v>
      </c>
      <c r="F21" s="18">
        <v>10000</v>
      </c>
      <c r="G21" s="19"/>
      <c r="H21" s="114"/>
    </row>
    <row r="22" spans="1:8" x14ac:dyDescent="0.25">
      <c r="A22" s="16" t="s">
        <v>61</v>
      </c>
      <c r="B22" s="119" t="s">
        <v>62</v>
      </c>
      <c r="C22" s="120"/>
      <c r="D22" s="120"/>
      <c r="E22" s="120"/>
      <c r="F22" s="120"/>
      <c r="G22" s="120"/>
      <c r="H22" s="121"/>
    </row>
    <row r="23" spans="1:8" x14ac:dyDescent="0.25">
      <c r="A23" s="16">
        <v>1</v>
      </c>
      <c r="B23" s="17">
        <v>43046</v>
      </c>
      <c r="C23" s="16" t="s">
        <v>63</v>
      </c>
      <c r="D23" s="15">
        <v>10</v>
      </c>
      <c r="E23" s="16" t="s">
        <v>64</v>
      </c>
      <c r="F23" s="18">
        <v>150000</v>
      </c>
      <c r="G23" s="19"/>
      <c r="H23" s="114">
        <f>SUM(G23:G24)</f>
        <v>0</v>
      </c>
    </row>
    <row r="24" spans="1:8" x14ac:dyDescent="0.25">
      <c r="A24" s="16">
        <v>2</v>
      </c>
      <c r="B24" s="17">
        <v>43061</v>
      </c>
      <c r="C24" s="16" t="s">
        <v>65</v>
      </c>
      <c r="D24" s="15">
        <v>10</v>
      </c>
      <c r="E24" s="16" t="s">
        <v>66</v>
      </c>
      <c r="F24" s="18">
        <v>15000</v>
      </c>
      <c r="G24" s="19"/>
      <c r="H24" s="114"/>
    </row>
    <row r="25" spans="1:8" x14ac:dyDescent="0.25">
      <c r="A25" s="16" t="s">
        <v>67</v>
      </c>
      <c r="B25" s="123" t="s">
        <v>68</v>
      </c>
      <c r="C25" s="124"/>
      <c r="D25" s="124"/>
      <c r="E25" s="124"/>
      <c r="F25" s="124"/>
      <c r="G25" s="124"/>
      <c r="H25" s="125"/>
    </row>
    <row r="26" spans="1:8" x14ac:dyDescent="0.25">
      <c r="A26" s="16">
        <v>1</v>
      </c>
      <c r="B26" s="17">
        <v>43062</v>
      </c>
      <c r="C26" s="16" t="s">
        <v>69</v>
      </c>
      <c r="D26" s="15">
        <v>1</v>
      </c>
      <c r="E26" s="16" t="s">
        <v>52</v>
      </c>
      <c r="F26" s="18">
        <v>3000</v>
      </c>
      <c r="G26" s="19"/>
      <c r="H26" s="114">
        <f>SUM(G26:G28)</f>
        <v>0</v>
      </c>
    </row>
    <row r="27" spans="1:8" x14ac:dyDescent="0.25">
      <c r="A27" s="16">
        <v>2</v>
      </c>
      <c r="B27" s="17">
        <v>43062</v>
      </c>
      <c r="C27" s="16" t="s">
        <v>70</v>
      </c>
      <c r="D27" s="15">
        <v>1</v>
      </c>
      <c r="E27" s="16" t="s">
        <v>52</v>
      </c>
      <c r="F27" s="18">
        <v>6000</v>
      </c>
      <c r="G27" s="19"/>
      <c r="H27" s="114"/>
    </row>
    <row r="28" spans="1:8" x14ac:dyDescent="0.25">
      <c r="A28" s="16">
        <v>3</v>
      </c>
      <c r="B28" s="17">
        <v>43062</v>
      </c>
      <c r="C28" s="16" t="s">
        <v>71</v>
      </c>
      <c r="D28" s="15">
        <v>1</v>
      </c>
      <c r="E28" s="16" t="s">
        <v>50</v>
      </c>
      <c r="F28" s="18">
        <v>150000</v>
      </c>
      <c r="G28" s="19"/>
      <c r="H28" s="114"/>
    </row>
    <row r="29" spans="1:8" x14ac:dyDescent="0.25">
      <c r="A29" s="123" t="s">
        <v>72</v>
      </c>
      <c r="B29" s="124"/>
      <c r="C29" s="124"/>
      <c r="D29" s="124"/>
      <c r="E29" s="124"/>
      <c r="F29" s="124"/>
      <c r="G29" s="125"/>
      <c r="H29" s="20">
        <f>SUM(H10,H16,H23,H26)</f>
        <v>0</v>
      </c>
    </row>
    <row r="30" spans="1:8" x14ac:dyDescent="0.25">
      <c r="A30" s="123" t="s">
        <v>296</v>
      </c>
      <c r="B30" s="124"/>
      <c r="C30" s="124"/>
      <c r="D30" s="124"/>
      <c r="E30" s="124"/>
      <c r="F30" s="124"/>
      <c r="G30" s="124"/>
      <c r="H30" s="125"/>
    </row>
    <row r="32" spans="1:8" x14ac:dyDescent="0.25">
      <c r="D32" s="126" t="s">
        <v>73</v>
      </c>
      <c r="E32" s="126"/>
      <c r="F32" s="126"/>
      <c r="G32" s="126"/>
      <c r="H32" s="126"/>
    </row>
    <row r="33" spans="4:8" x14ac:dyDescent="0.25">
      <c r="D33" s="122" t="s">
        <v>74</v>
      </c>
      <c r="E33" s="122"/>
      <c r="F33" s="122"/>
      <c r="G33" s="122"/>
      <c r="H33" s="122"/>
    </row>
    <row r="34" spans="4:8" x14ac:dyDescent="0.25">
      <c r="D34" s="122" t="s">
        <v>75</v>
      </c>
      <c r="E34" s="122"/>
      <c r="F34" s="122"/>
      <c r="G34" s="122"/>
      <c r="H34" s="122"/>
    </row>
    <row r="37" spans="4:8" x14ac:dyDescent="0.25">
      <c r="D37" s="122" t="s">
        <v>76</v>
      </c>
      <c r="E37" s="122"/>
      <c r="F37" s="122"/>
      <c r="G37" s="122"/>
      <c r="H37" s="122"/>
    </row>
  </sheetData>
  <mergeCells count="24">
    <mergeCell ref="D34:H34"/>
    <mergeCell ref="D37:H37"/>
    <mergeCell ref="B25:H25"/>
    <mergeCell ref="H26:H28"/>
    <mergeCell ref="A29:G29"/>
    <mergeCell ref="A30:H30"/>
    <mergeCell ref="D32:H32"/>
    <mergeCell ref="D33:H33"/>
    <mergeCell ref="H23:H24"/>
    <mergeCell ref="A1:H1"/>
    <mergeCell ref="A2:H2"/>
    <mergeCell ref="A3:H3"/>
    <mergeCell ref="A4:H4"/>
    <mergeCell ref="A6:A7"/>
    <mergeCell ref="B6:B7"/>
    <mergeCell ref="C6:C7"/>
    <mergeCell ref="D6:E6"/>
    <mergeCell ref="G6:G7"/>
    <mergeCell ref="H6:H7"/>
    <mergeCell ref="B9:H9"/>
    <mergeCell ref="H10:H14"/>
    <mergeCell ref="B15:H15"/>
    <mergeCell ref="H16:H21"/>
    <mergeCell ref="B22:H2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44112-2EA5-4D6F-B96A-B84FE2C9C9D0}">
  <dimension ref="A2:O35"/>
  <sheetViews>
    <sheetView zoomScale="75" zoomScaleNormal="75" workbookViewId="0">
      <selection activeCell="Q42" sqref="Q42"/>
    </sheetView>
  </sheetViews>
  <sheetFormatPr defaultColWidth="9.140625" defaultRowHeight="15" x14ac:dyDescent="0.25"/>
  <cols>
    <col min="1" max="1" width="9.140625" style="22"/>
    <col min="2" max="2" width="16.85546875" style="22" customWidth="1"/>
    <col min="3" max="3" width="17.28515625" style="22" customWidth="1"/>
    <col min="4" max="4" width="15.5703125" style="22" customWidth="1"/>
    <col min="5" max="5" width="13.7109375" style="22" customWidth="1"/>
    <col min="6" max="6" width="14.42578125" style="22" customWidth="1"/>
    <col min="7" max="7" width="15.5703125" style="22" customWidth="1"/>
    <col min="8" max="8" width="17.85546875" style="22" customWidth="1"/>
    <col min="9" max="9" width="14.140625" style="22" customWidth="1"/>
    <col min="10" max="10" width="13.85546875" style="22" customWidth="1"/>
    <col min="11" max="11" width="14.28515625" style="22" customWidth="1"/>
    <col min="12" max="12" width="17.5703125" style="22" customWidth="1"/>
    <col min="13" max="14" width="9.140625" style="22"/>
    <col min="15" max="15" width="11.42578125" style="22" customWidth="1"/>
    <col min="16" max="16384" width="9.140625" style="22"/>
  </cols>
  <sheetData>
    <row r="2" spans="1:12" x14ac:dyDescent="0.25">
      <c r="A2" s="176" t="s">
        <v>36</v>
      </c>
      <c r="B2" s="176" t="s">
        <v>77</v>
      </c>
      <c r="C2" s="176" t="s">
        <v>78</v>
      </c>
      <c r="D2" s="176" t="s">
        <v>79</v>
      </c>
      <c r="E2" s="176" t="s">
        <v>80</v>
      </c>
      <c r="F2" s="176" t="s">
        <v>81</v>
      </c>
      <c r="G2" s="176" t="s">
        <v>82</v>
      </c>
      <c r="H2" s="176" t="s">
        <v>3</v>
      </c>
      <c r="I2" s="177" t="s">
        <v>4</v>
      </c>
      <c r="J2" s="177"/>
      <c r="K2" s="176" t="s">
        <v>83</v>
      </c>
      <c r="L2" s="176" t="s">
        <v>84</v>
      </c>
    </row>
    <row r="3" spans="1:12" x14ac:dyDescent="0.25">
      <c r="A3" s="176"/>
      <c r="B3" s="176"/>
      <c r="C3" s="176"/>
      <c r="D3" s="176"/>
      <c r="E3" s="176"/>
      <c r="F3" s="176"/>
      <c r="G3" s="176"/>
      <c r="H3" s="176"/>
      <c r="I3" s="23" t="s">
        <v>85</v>
      </c>
      <c r="J3" s="23" t="s">
        <v>81</v>
      </c>
      <c r="K3" s="176"/>
      <c r="L3" s="176"/>
    </row>
    <row r="4" spans="1:12" x14ac:dyDescent="0.25">
      <c r="A4" s="24">
        <v>1</v>
      </c>
      <c r="B4" s="25" t="s">
        <v>86</v>
      </c>
      <c r="C4" s="24" t="s">
        <v>87</v>
      </c>
      <c r="D4" s="31" t="str">
        <f t="shared" ref="D4:D17" si="0">HLOOKUP(RIGHT(C4,1),kelamin,2,0)</f>
        <v>Laki-Laki</v>
      </c>
      <c r="E4" s="31" t="str">
        <f t="shared" ref="E4:E17" si="1">HLOOKUP(MID(C4,5,1),status,2,0)</f>
        <v>Belum Kawin</v>
      </c>
      <c r="F4" s="31" t="str">
        <f t="shared" ref="F4:F17" si="2">VLOOKUP(VALUE(MID(C4,1,4)),jabatan,2,0)</f>
        <v>Karyawan</v>
      </c>
      <c r="G4" s="31">
        <v>6</v>
      </c>
      <c r="H4" s="32">
        <f t="shared" ref="H4:H17" si="3">VLOOKUP(F4,gapok,2,0)</f>
        <v>3500000</v>
      </c>
      <c r="I4" s="32">
        <f>IF(G4&lt;=4,G4*50000,G4*100000)</f>
        <v>600000</v>
      </c>
      <c r="J4" s="32">
        <f>H4*5%</f>
        <v>175000</v>
      </c>
      <c r="K4" s="32">
        <f>H4*10%</f>
        <v>350000</v>
      </c>
      <c r="L4" s="32">
        <f>H4+I4+J4-K4</f>
        <v>3925000</v>
      </c>
    </row>
    <row r="5" spans="1:12" x14ac:dyDescent="0.25">
      <c r="A5" s="24">
        <v>2</v>
      </c>
      <c r="B5" s="25" t="s">
        <v>88</v>
      </c>
      <c r="C5" s="24" t="s">
        <v>89</v>
      </c>
      <c r="D5" s="24" t="str">
        <f t="shared" si="0"/>
        <v>Laki-Laki</v>
      </c>
      <c r="E5" s="24" t="str">
        <f t="shared" si="1"/>
        <v>Kawin</v>
      </c>
      <c r="F5" s="24" t="str">
        <f t="shared" si="2"/>
        <v>Karyawan</v>
      </c>
      <c r="G5" s="24">
        <v>4</v>
      </c>
      <c r="H5" s="30">
        <f t="shared" si="3"/>
        <v>3500000</v>
      </c>
      <c r="I5" s="30">
        <f t="shared" ref="I5:I17" si="4">IF(G5&lt;=4,G5*50000,G5*100000)</f>
        <v>200000</v>
      </c>
      <c r="J5" s="30">
        <f t="shared" ref="J5:J17" si="5">H5*5%</f>
        <v>175000</v>
      </c>
      <c r="K5" s="30">
        <f t="shared" ref="K5:K17" si="6">H5*10%</f>
        <v>350000</v>
      </c>
      <c r="L5" s="30">
        <f t="shared" ref="L5:L17" si="7">H5+I5+J5-K5</f>
        <v>3525000</v>
      </c>
    </row>
    <row r="6" spans="1:12" x14ac:dyDescent="0.25">
      <c r="A6" s="24">
        <v>3</v>
      </c>
      <c r="B6" s="25" t="s">
        <v>90</v>
      </c>
      <c r="C6" s="24" t="s">
        <v>91</v>
      </c>
      <c r="D6" s="24" t="str">
        <f t="shared" si="0"/>
        <v>Laki-Laki</v>
      </c>
      <c r="E6" s="24" t="str">
        <f t="shared" si="1"/>
        <v>Kawin</v>
      </c>
      <c r="F6" s="24" t="str">
        <f t="shared" si="2"/>
        <v>Karyawan</v>
      </c>
      <c r="G6" s="24">
        <v>6</v>
      </c>
      <c r="H6" s="30">
        <f t="shared" si="3"/>
        <v>3500000</v>
      </c>
      <c r="I6" s="30">
        <f t="shared" si="4"/>
        <v>600000</v>
      </c>
      <c r="J6" s="30">
        <f t="shared" si="5"/>
        <v>175000</v>
      </c>
      <c r="K6" s="30">
        <f t="shared" si="6"/>
        <v>350000</v>
      </c>
      <c r="L6" s="30">
        <f t="shared" si="7"/>
        <v>3925000</v>
      </c>
    </row>
    <row r="7" spans="1:12" x14ac:dyDescent="0.25">
      <c r="A7" s="24">
        <v>4</v>
      </c>
      <c r="B7" s="25" t="s">
        <v>92</v>
      </c>
      <c r="C7" s="24" t="s">
        <v>93</v>
      </c>
      <c r="D7" s="24" t="str">
        <f t="shared" si="0"/>
        <v>Perempuan</v>
      </c>
      <c r="E7" s="24" t="str">
        <f t="shared" si="1"/>
        <v>Kawin</v>
      </c>
      <c r="F7" s="24" t="str">
        <f t="shared" si="2"/>
        <v>Supervisor</v>
      </c>
      <c r="G7" s="24">
        <v>7</v>
      </c>
      <c r="H7" s="30">
        <f t="shared" si="3"/>
        <v>5000000</v>
      </c>
      <c r="I7" s="30">
        <f t="shared" si="4"/>
        <v>700000</v>
      </c>
      <c r="J7" s="30">
        <f t="shared" si="5"/>
        <v>250000</v>
      </c>
      <c r="K7" s="30">
        <f t="shared" si="6"/>
        <v>500000</v>
      </c>
      <c r="L7" s="30">
        <f t="shared" si="7"/>
        <v>5450000</v>
      </c>
    </row>
    <row r="8" spans="1:12" x14ac:dyDescent="0.25">
      <c r="A8" s="24">
        <v>5</v>
      </c>
      <c r="B8" s="25" t="s">
        <v>94</v>
      </c>
      <c r="C8" s="24" t="s">
        <v>95</v>
      </c>
      <c r="D8" s="24" t="str">
        <f t="shared" si="0"/>
        <v>Laki-Laki</v>
      </c>
      <c r="E8" s="24" t="str">
        <f t="shared" si="1"/>
        <v>Kawin</v>
      </c>
      <c r="F8" s="24" t="str">
        <f t="shared" si="2"/>
        <v>Asisten Manager</v>
      </c>
      <c r="G8" s="24">
        <v>9</v>
      </c>
      <c r="H8" s="30">
        <f t="shared" si="3"/>
        <v>7500000</v>
      </c>
      <c r="I8" s="30">
        <f t="shared" si="4"/>
        <v>900000</v>
      </c>
      <c r="J8" s="30">
        <f t="shared" si="5"/>
        <v>375000</v>
      </c>
      <c r="K8" s="30">
        <f t="shared" si="6"/>
        <v>750000</v>
      </c>
      <c r="L8" s="30">
        <f t="shared" si="7"/>
        <v>8025000</v>
      </c>
    </row>
    <row r="9" spans="1:12" x14ac:dyDescent="0.25">
      <c r="A9" s="24">
        <v>6</v>
      </c>
      <c r="B9" s="25" t="s">
        <v>96</v>
      </c>
      <c r="C9" s="24" t="s">
        <v>97</v>
      </c>
      <c r="D9" s="24" t="str">
        <f t="shared" si="0"/>
        <v>Perempuan</v>
      </c>
      <c r="E9" s="24" t="str">
        <f t="shared" si="1"/>
        <v>Belum Kawin</v>
      </c>
      <c r="F9" s="24" t="str">
        <f t="shared" si="2"/>
        <v>Karyawan</v>
      </c>
      <c r="G9" s="24">
        <v>1</v>
      </c>
      <c r="H9" s="30">
        <f t="shared" si="3"/>
        <v>3500000</v>
      </c>
      <c r="I9" s="30">
        <f t="shared" si="4"/>
        <v>50000</v>
      </c>
      <c r="J9" s="30">
        <f t="shared" si="5"/>
        <v>175000</v>
      </c>
      <c r="K9" s="30">
        <f t="shared" si="6"/>
        <v>350000</v>
      </c>
      <c r="L9" s="30">
        <f t="shared" si="7"/>
        <v>3375000</v>
      </c>
    </row>
    <row r="10" spans="1:12" x14ac:dyDescent="0.25">
      <c r="A10" s="24">
        <v>7</v>
      </c>
      <c r="B10" s="25" t="s">
        <v>98</v>
      </c>
      <c r="C10" s="24" t="s">
        <v>99</v>
      </c>
      <c r="D10" s="24" t="str">
        <f t="shared" si="0"/>
        <v>Laki-Laki</v>
      </c>
      <c r="E10" s="24" t="str">
        <f t="shared" si="1"/>
        <v>Belum Kawin</v>
      </c>
      <c r="F10" s="24" t="str">
        <f t="shared" si="2"/>
        <v>Karyawan</v>
      </c>
      <c r="G10" s="24">
        <v>3</v>
      </c>
      <c r="H10" s="30">
        <f t="shared" si="3"/>
        <v>3500000</v>
      </c>
      <c r="I10" s="30">
        <f t="shared" si="4"/>
        <v>150000</v>
      </c>
      <c r="J10" s="30">
        <f t="shared" si="5"/>
        <v>175000</v>
      </c>
      <c r="K10" s="30">
        <f t="shared" si="6"/>
        <v>350000</v>
      </c>
      <c r="L10" s="30">
        <f t="shared" si="7"/>
        <v>3475000</v>
      </c>
    </row>
    <row r="11" spans="1:12" x14ac:dyDescent="0.25">
      <c r="A11" s="24">
        <v>8</v>
      </c>
      <c r="B11" s="25" t="s">
        <v>100</v>
      </c>
      <c r="C11" s="24" t="s">
        <v>101</v>
      </c>
      <c r="D11" s="24" t="str">
        <f t="shared" si="0"/>
        <v>Laki-Laki</v>
      </c>
      <c r="E11" s="24" t="str">
        <f t="shared" si="1"/>
        <v>Belum Kawin</v>
      </c>
      <c r="F11" s="24" t="str">
        <f t="shared" si="2"/>
        <v>Manager</v>
      </c>
      <c r="G11" s="24">
        <v>5</v>
      </c>
      <c r="H11" s="30">
        <f t="shared" si="3"/>
        <v>9000000</v>
      </c>
      <c r="I11" s="30">
        <f t="shared" si="4"/>
        <v>500000</v>
      </c>
      <c r="J11" s="30">
        <f t="shared" si="5"/>
        <v>450000</v>
      </c>
      <c r="K11" s="30">
        <f t="shared" si="6"/>
        <v>900000</v>
      </c>
      <c r="L11" s="30">
        <f t="shared" si="7"/>
        <v>9050000</v>
      </c>
    </row>
    <row r="12" spans="1:12" x14ac:dyDescent="0.25">
      <c r="A12" s="24">
        <v>9</v>
      </c>
      <c r="B12" s="25" t="s">
        <v>102</v>
      </c>
      <c r="C12" s="24" t="s">
        <v>103</v>
      </c>
      <c r="D12" s="24" t="str">
        <f t="shared" si="0"/>
        <v>Perempuan</v>
      </c>
      <c r="E12" s="24" t="str">
        <f t="shared" si="1"/>
        <v>Kawin</v>
      </c>
      <c r="F12" s="24" t="str">
        <f t="shared" si="2"/>
        <v>Karyawan</v>
      </c>
      <c r="G12" s="24">
        <v>8</v>
      </c>
      <c r="H12" s="30">
        <f t="shared" si="3"/>
        <v>3500000</v>
      </c>
      <c r="I12" s="30">
        <f t="shared" si="4"/>
        <v>800000</v>
      </c>
      <c r="J12" s="30">
        <f t="shared" si="5"/>
        <v>175000</v>
      </c>
      <c r="K12" s="30">
        <f t="shared" si="6"/>
        <v>350000</v>
      </c>
      <c r="L12" s="30">
        <f t="shared" si="7"/>
        <v>4125000</v>
      </c>
    </row>
    <row r="13" spans="1:12" x14ac:dyDescent="0.25">
      <c r="A13" s="24">
        <v>10</v>
      </c>
      <c r="B13" s="25" t="s">
        <v>14</v>
      </c>
      <c r="C13" s="24" t="s">
        <v>104</v>
      </c>
      <c r="D13" s="24" t="str">
        <f t="shared" si="0"/>
        <v>Laki-Laki</v>
      </c>
      <c r="E13" s="24" t="str">
        <f t="shared" si="1"/>
        <v>Belum Kawin</v>
      </c>
      <c r="F13" s="24" t="str">
        <f t="shared" si="2"/>
        <v>Karyawan</v>
      </c>
      <c r="G13" s="24">
        <v>7</v>
      </c>
      <c r="H13" s="30">
        <f t="shared" si="3"/>
        <v>3500000</v>
      </c>
      <c r="I13" s="30">
        <f t="shared" si="4"/>
        <v>700000</v>
      </c>
      <c r="J13" s="30">
        <f t="shared" si="5"/>
        <v>175000</v>
      </c>
      <c r="K13" s="30">
        <f t="shared" si="6"/>
        <v>350000</v>
      </c>
      <c r="L13" s="30">
        <f t="shared" si="7"/>
        <v>4025000</v>
      </c>
    </row>
    <row r="14" spans="1:12" x14ac:dyDescent="0.25">
      <c r="A14" s="24">
        <v>11</v>
      </c>
      <c r="B14" s="25" t="s">
        <v>105</v>
      </c>
      <c r="C14" s="24" t="s">
        <v>106</v>
      </c>
      <c r="D14" s="24" t="str">
        <f t="shared" si="0"/>
        <v>Laki-Laki</v>
      </c>
      <c r="E14" s="24" t="str">
        <f t="shared" si="1"/>
        <v>Kawin</v>
      </c>
      <c r="F14" s="24" t="str">
        <f t="shared" si="2"/>
        <v>Karyawan</v>
      </c>
      <c r="G14" s="24">
        <v>9</v>
      </c>
      <c r="H14" s="30">
        <f t="shared" si="3"/>
        <v>3500000</v>
      </c>
      <c r="I14" s="30">
        <f t="shared" si="4"/>
        <v>900000</v>
      </c>
      <c r="J14" s="30">
        <f t="shared" si="5"/>
        <v>175000</v>
      </c>
      <c r="K14" s="30">
        <f t="shared" si="6"/>
        <v>350000</v>
      </c>
      <c r="L14" s="30">
        <f t="shared" si="7"/>
        <v>4225000</v>
      </c>
    </row>
    <row r="15" spans="1:12" x14ac:dyDescent="0.25">
      <c r="A15" s="24">
        <v>12</v>
      </c>
      <c r="B15" s="25" t="s">
        <v>107</v>
      </c>
      <c r="C15" s="24" t="s">
        <v>108</v>
      </c>
      <c r="D15" s="24" t="str">
        <f t="shared" si="0"/>
        <v>Laki-Laki</v>
      </c>
      <c r="E15" s="24" t="str">
        <f t="shared" si="1"/>
        <v>Belum Kawin</v>
      </c>
      <c r="F15" s="24" t="str">
        <f t="shared" si="2"/>
        <v>Supervisor</v>
      </c>
      <c r="G15" s="24">
        <v>2</v>
      </c>
      <c r="H15" s="30">
        <f t="shared" si="3"/>
        <v>5000000</v>
      </c>
      <c r="I15" s="30">
        <f t="shared" si="4"/>
        <v>100000</v>
      </c>
      <c r="J15" s="30">
        <f t="shared" si="5"/>
        <v>250000</v>
      </c>
      <c r="K15" s="30">
        <f t="shared" si="6"/>
        <v>500000</v>
      </c>
      <c r="L15" s="30">
        <f t="shared" si="7"/>
        <v>4850000</v>
      </c>
    </row>
    <row r="16" spans="1:12" x14ac:dyDescent="0.25">
      <c r="A16" s="24">
        <v>13</v>
      </c>
      <c r="B16" s="25" t="s">
        <v>109</v>
      </c>
      <c r="C16" s="24" t="s">
        <v>110</v>
      </c>
      <c r="D16" s="24" t="str">
        <f t="shared" si="0"/>
        <v>Laki-Laki</v>
      </c>
      <c r="E16" s="24" t="str">
        <f t="shared" si="1"/>
        <v>Kawin</v>
      </c>
      <c r="F16" s="24" t="str">
        <f t="shared" si="2"/>
        <v>Karyawan</v>
      </c>
      <c r="G16" s="24">
        <v>1</v>
      </c>
      <c r="H16" s="30">
        <f t="shared" si="3"/>
        <v>3500000</v>
      </c>
      <c r="I16" s="30">
        <f t="shared" si="4"/>
        <v>50000</v>
      </c>
      <c r="J16" s="30">
        <f t="shared" si="5"/>
        <v>175000</v>
      </c>
      <c r="K16" s="30">
        <f t="shared" si="6"/>
        <v>350000</v>
      </c>
      <c r="L16" s="30">
        <f t="shared" si="7"/>
        <v>3375000</v>
      </c>
    </row>
    <row r="17" spans="1:15" x14ac:dyDescent="0.25">
      <c r="A17" s="24">
        <v>14</v>
      </c>
      <c r="B17" s="25" t="s">
        <v>111</v>
      </c>
      <c r="C17" s="24" t="s">
        <v>97</v>
      </c>
      <c r="D17" s="24" t="str">
        <f t="shared" si="0"/>
        <v>Perempuan</v>
      </c>
      <c r="E17" s="24" t="str">
        <f t="shared" si="1"/>
        <v>Belum Kawin</v>
      </c>
      <c r="F17" s="24" t="str">
        <f t="shared" si="2"/>
        <v>Karyawan</v>
      </c>
      <c r="G17" s="24">
        <v>8</v>
      </c>
      <c r="H17" s="30">
        <f t="shared" si="3"/>
        <v>3500000</v>
      </c>
      <c r="I17" s="30">
        <f t="shared" si="4"/>
        <v>800000</v>
      </c>
      <c r="J17" s="30">
        <f t="shared" si="5"/>
        <v>175000</v>
      </c>
      <c r="K17" s="30">
        <f t="shared" si="6"/>
        <v>350000</v>
      </c>
      <c r="L17" s="30">
        <f t="shared" si="7"/>
        <v>4125000</v>
      </c>
    </row>
    <row r="18" spans="1:15" x14ac:dyDescent="0.25">
      <c r="A18" s="179" t="s">
        <v>112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32">
        <f>SUM(L4:L17)</f>
        <v>65475000</v>
      </c>
    </row>
    <row r="19" spans="1:15" x14ac:dyDescent="0.25">
      <c r="A19" s="179" t="s">
        <v>113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32">
        <f>MAX(L4:L17)</f>
        <v>9050000</v>
      </c>
    </row>
    <row r="20" spans="1:15" x14ac:dyDescent="0.25">
      <c r="A20" s="179" t="s">
        <v>114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32">
        <f>MIN(L4:L17)</f>
        <v>3375000</v>
      </c>
    </row>
    <row r="21" spans="1:15" x14ac:dyDescent="0.25">
      <c r="A21" s="179" t="s">
        <v>115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32">
        <f>AVERAGE(L4:L17)</f>
        <v>4676785.7142857146</v>
      </c>
    </row>
    <row r="22" spans="1:15" x14ac:dyDescent="0.25">
      <c r="A22" s="179" t="s">
        <v>116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31">
        <f>COUNT(L4:L17)</f>
        <v>14</v>
      </c>
    </row>
    <row r="23" spans="1:15" x14ac:dyDescent="0.25">
      <c r="A23" s="28"/>
      <c r="B23" s="28"/>
      <c r="C23" s="28"/>
      <c r="D23" s="28"/>
      <c r="E23" s="28"/>
      <c r="F23" s="28"/>
      <c r="G23" s="28"/>
      <c r="H23" s="28"/>
      <c r="I23" s="29" t="s">
        <v>117</v>
      </c>
      <c r="J23" s="28"/>
      <c r="K23" s="28"/>
      <c r="L23" s="28"/>
    </row>
    <row r="24" spans="1:15" x14ac:dyDescent="0.25">
      <c r="I24" s="180" t="s">
        <v>118</v>
      </c>
      <c r="J24" s="180"/>
      <c r="K24" s="180"/>
      <c r="L24" s="180"/>
      <c r="M24" s="180"/>
      <c r="N24" s="180"/>
      <c r="O24" s="180"/>
    </row>
    <row r="25" spans="1:15" x14ac:dyDescent="0.25">
      <c r="B25" s="23" t="s">
        <v>119</v>
      </c>
      <c r="C25" s="23" t="s">
        <v>81</v>
      </c>
      <c r="E25" s="23" t="s">
        <v>120</v>
      </c>
      <c r="F25" s="24" t="s">
        <v>121</v>
      </c>
      <c r="G25" s="24" t="s">
        <v>122</v>
      </c>
      <c r="I25" s="180" t="s">
        <v>123</v>
      </c>
      <c r="J25" s="180"/>
      <c r="K25" s="180"/>
      <c r="L25" s="180"/>
      <c r="M25" s="180"/>
      <c r="N25" s="180"/>
      <c r="O25" s="180"/>
    </row>
    <row r="26" spans="1:15" x14ac:dyDescent="0.25">
      <c r="B26" s="24">
        <v>1111</v>
      </c>
      <c r="C26" s="24" t="s">
        <v>124</v>
      </c>
      <c r="E26" s="23" t="s">
        <v>80</v>
      </c>
      <c r="F26" s="24" t="s">
        <v>125</v>
      </c>
      <c r="G26" s="24" t="s">
        <v>126</v>
      </c>
      <c r="I26" s="181" t="s">
        <v>127</v>
      </c>
      <c r="J26" s="181"/>
      <c r="K26" s="181"/>
      <c r="L26" s="181"/>
      <c r="M26" s="181"/>
      <c r="N26" s="181"/>
      <c r="O26" s="181"/>
    </row>
    <row r="27" spans="1:15" x14ac:dyDescent="0.25">
      <c r="B27" s="24">
        <v>1221</v>
      </c>
      <c r="C27" s="24" t="s">
        <v>128</v>
      </c>
      <c r="I27" s="181" t="s">
        <v>129</v>
      </c>
      <c r="J27" s="181"/>
      <c r="K27" s="181"/>
      <c r="L27" s="181"/>
      <c r="M27" s="181"/>
      <c r="N27" s="181"/>
      <c r="O27" s="181"/>
    </row>
    <row r="28" spans="1:15" x14ac:dyDescent="0.25">
      <c r="B28" s="24">
        <v>1331</v>
      </c>
      <c r="C28" s="24" t="s">
        <v>130</v>
      </c>
      <c r="E28" s="23" t="s">
        <v>120</v>
      </c>
      <c r="F28" s="24" t="s">
        <v>131</v>
      </c>
      <c r="G28" s="24" t="s">
        <v>132</v>
      </c>
      <c r="I28" s="182" t="s">
        <v>133</v>
      </c>
      <c r="J28" s="182"/>
      <c r="K28" s="182"/>
      <c r="L28" s="182"/>
      <c r="M28" s="182"/>
      <c r="N28" s="182"/>
      <c r="O28" s="182"/>
    </row>
    <row r="29" spans="1:15" x14ac:dyDescent="0.25">
      <c r="B29" s="24">
        <v>1441</v>
      </c>
      <c r="C29" s="24" t="s">
        <v>134</v>
      </c>
      <c r="E29" s="23" t="s">
        <v>79</v>
      </c>
      <c r="F29" s="24" t="s">
        <v>135</v>
      </c>
      <c r="G29" s="24" t="s">
        <v>136</v>
      </c>
      <c r="I29" s="183" t="s">
        <v>137</v>
      </c>
      <c r="J29" s="183"/>
      <c r="K29" s="183"/>
      <c r="L29" s="183"/>
      <c r="M29" s="183"/>
      <c r="N29" s="183"/>
      <c r="O29" s="183"/>
    </row>
    <row r="30" spans="1:15" x14ac:dyDescent="0.25">
      <c r="I30" s="184" t="s">
        <v>138</v>
      </c>
      <c r="J30" s="184"/>
      <c r="K30" s="184"/>
      <c r="L30" s="184"/>
      <c r="M30" s="184"/>
      <c r="N30" s="184"/>
      <c r="O30" s="184"/>
    </row>
    <row r="31" spans="1:15" x14ac:dyDescent="0.25">
      <c r="B31" s="23" t="s">
        <v>81</v>
      </c>
      <c r="C31" s="23" t="s">
        <v>3</v>
      </c>
      <c r="I31" s="178" t="s">
        <v>139</v>
      </c>
      <c r="J31" s="178"/>
      <c r="K31" s="178"/>
      <c r="L31" s="178"/>
      <c r="M31" s="178"/>
      <c r="N31" s="178"/>
      <c r="O31" s="178"/>
    </row>
    <row r="32" spans="1:15" x14ac:dyDescent="0.25">
      <c r="B32" s="24" t="s">
        <v>134</v>
      </c>
      <c r="C32" s="30">
        <v>9000000</v>
      </c>
    </row>
    <row r="33" spans="2:3" x14ac:dyDescent="0.25">
      <c r="B33" s="24" t="s">
        <v>130</v>
      </c>
      <c r="C33" s="30">
        <v>7500000</v>
      </c>
    </row>
    <row r="34" spans="2:3" x14ac:dyDescent="0.25">
      <c r="B34" s="24" t="s">
        <v>128</v>
      </c>
      <c r="C34" s="30">
        <v>5000000</v>
      </c>
    </row>
    <row r="35" spans="2:3" x14ac:dyDescent="0.25">
      <c r="B35" s="24" t="s">
        <v>124</v>
      </c>
      <c r="C35" s="30">
        <v>3500000</v>
      </c>
    </row>
  </sheetData>
  <mergeCells count="24">
    <mergeCell ref="L2:L3"/>
    <mergeCell ref="I31:O31"/>
    <mergeCell ref="A19:K19"/>
    <mergeCell ref="A20:K20"/>
    <mergeCell ref="A21:K21"/>
    <mergeCell ref="A22:K22"/>
    <mergeCell ref="I24:O24"/>
    <mergeCell ref="I25:O25"/>
    <mergeCell ref="I26:O26"/>
    <mergeCell ref="I27:O27"/>
    <mergeCell ref="I28:O28"/>
    <mergeCell ref="I29:O29"/>
    <mergeCell ref="I30:O30"/>
    <mergeCell ref="A18:K18"/>
    <mergeCell ref="A2:A3"/>
    <mergeCell ref="B2:B3"/>
    <mergeCell ref="H2:H3"/>
    <mergeCell ref="I2:J2"/>
    <mergeCell ref="K2:K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23A76-707F-49CD-ACCC-D937818C78BA}">
  <dimension ref="A1:N93"/>
  <sheetViews>
    <sheetView workbookViewId="0">
      <selection activeCell="L21" sqref="L21"/>
    </sheetView>
  </sheetViews>
  <sheetFormatPr defaultRowHeight="15" x14ac:dyDescent="0.25"/>
  <cols>
    <col min="1" max="1" width="4" customWidth="1"/>
    <col min="2" max="2" width="31.28515625" bestFit="1" customWidth="1"/>
    <col min="3" max="3" width="7.42578125" bestFit="1" customWidth="1"/>
    <col min="4" max="4" width="4.7109375" bestFit="1" customWidth="1"/>
    <col min="5" max="5" width="14" customWidth="1"/>
    <col min="6" max="6" width="12.140625" bestFit="1" customWidth="1"/>
    <col min="7" max="7" width="16.42578125" customWidth="1"/>
    <col min="8" max="8" width="14.85546875" bestFit="1" customWidth="1"/>
    <col min="9" max="9" width="12.28515625" bestFit="1" customWidth="1"/>
    <col min="10" max="10" width="14.85546875" bestFit="1" customWidth="1"/>
    <col min="11" max="11" width="12.28515625" bestFit="1" customWidth="1"/>
    <col min="12" max="12" width="14.85546875" bestFit="1" customWidth="1"/>
    <col min="13" max="13" width="13.42578125" bestFit="1" customWidth="1"/>
    <col min="14" max="14" width="14.85546875" bestFit="1" customWidth="1"/>
  </cols>
  <sheetData>
    <row r="1" spans="1:14" x14ac:dyDescent="0.25">
      <c r="A1" s="13" t="s">
        <v>302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89" t="s">
        <v>303</v>
      </c>
      <c r="B2" s="90"/>
      <c r="C2" s="185"/>
      <c r="D2" s="186"/>
      <c r="E2" s="186"/>
      <c r="F2" s="186"/>
      <c r="G2" s="187"/>
      <c r="H2" s="78"/>
    </row>
    <row r="3" spans="1:14" x14ac:dyDescent="0.25">
      <c r="A3" s="89" t="s">
        <v>304</v>
      </c>
      <c r="B3" s="90"/>
      <c r="C3" s="185"/>
      <c r="D3" s="186"/>
      <c r="E3" s="186"/>
      <c r="F3" s="186"/>
      <c r="G3" s="187"/>
      <c r="H3" s="78"/>
    </row>
    <row r="4" spans="1:14" x14ac:dyDescent="0.25">
      <c r="A4" s="89" t="s">
        <v>305</v>
      </c>
      <c r="B4" s="90"/>
      <c r="C4" s="185"/>
      <c r="D4" s="186"/>
      <c r="E4" s="186"/>
      <c r="F4" s="186"/>
      <c r="G4" s="187"/>
      <c r="H4" s="78"/>
    </row>
    <row r="5" spans="1:14" x14ac:dyDescent="0.25">
      <c r="A5" t="s">
        <v>306</v>
      </c>
    </row>
    <row r="6" spans="1:14" x14ac:dyDescent="0.25">
      <c r="A6" s="91" t="s">
        <v>307</v>
      </c>
    </row>
    <row r="7" spans="1:14" x14ac:dyDescent="0.25">
      <c r="A7" s="91" t="s">
        <v>308</v>
      </c>
    </row>
    <row r="9" spans="1:14" x14ac:dyDescent="0.25">
      <c r="A9" s="116" t="s">
        <v>309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x14ac:dyDescent="0.25">
      <c r="A10" s="188" t="s">
        <v>310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</row>
    <row r="11" spans="1:14" ht="60" x14ac:dyDescent="0.25">
      <c r="A11" s="92" t="s">
        <v>36</v>
      </c>
      <c r="B11" s="92" t="s">
        <v>77</v>
      </c>
      <c r="C11" s="92" t="s">
        <v>311</v>
      </c>
      <c r="D11" s="92" t="s">
        <v>312</v>
      </c>
      <c r="E11" s="92" t="s">
        <v>313</v>
      </c>
      <c r="F11" s="92" t="s">
        <v>314</v>
      </c>
      <c r="G11" s="92" t="s">
        <v>315</v>
      </c>
      <c r="H11" s="92" t="s">
        <v>316</v>
      </c>
      <c r="I11" s="92" t="s">
        <v>317</v>
      </c>
      <c r="J11" s="92" t="s">
        <v>318</v>
      </c>
      <c r="K11" s="92" t="s">
        <v>319</v>
      </c>
      <c r="L11" s="92" t="s">
        <v>320</v>
      </c>
      <c r="M11" s="92" t="s">
        <v>321</v>
      </c>
      <c r="N11" s="92" t="s">
        <v>322</v>
      </c>
    </row>
    <row r="12" spans="1:14" x14ac:dyDescent="0.25">
      <c r="A12" s="16">
        <v>1</v>
      </c>
      <c r="B12" s="16" t="s">
        <v>323</v>
      </c>
      <c r="C12" s="15" t="s">
        <v>324</v>
      </c>
      <c r="D12" s="15">
        <v>20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5">
      <c r="A13" s="16">
        <v>2</v>
      </c>
      <c r="B13" s="16" t="s">
        <v>325</v>
      </c>
      <c r="C13" s="15" t="s">
        <v>326</v>
      </c>
      <c r="D13" s="15">
        <v>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A14" s="16">
        <v>3</v>
      </c>
      <c r="B14" s="16" t="s">
        <v>327</v>
      </c>
      <c r="C14" s="15" t="s">
        <v>328</v>
      </c>
      <c r="D14" s="15">
        <v>15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x14ac:dyDescent="0.25">
      <c r="A15" s="16">
        <v>4</v>
      </c>
      <c r="B15" s="16" t="s">
        <v>329</v>
      </c>
      <c r="C15" s="15" t="s">
        <v>330</v>
      </c>
      <c r="D15" s="15">
        <v>17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x14ac:dyDescent="0.25">
      <c r="A16" s="16">
        <v>5</v>
      </c>
      <c r="B16" s="16" t="s">
        <v>331</v>
      </c>
      <c r="C16" s="15" t="s">
        <v>332</v>
      </c>
      <c r="D16" s="15">
        <v>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25">
      <c r="A17" s="16">
        <v>6</v>
      </c>
      <c r="B17" s="16" t="s">
        <v>333</v>
      </c>
      <c r="C17" s="15" t="s">
        <v>334</v>
      </c>
      <c r="D17" s="15">
        <v>15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5">
      <c r="A18" s="16">
        <v>7</v>
      </c>
      <c r="B18" s="16" t="s">
        <v>335</v>
      </c>
      <c r="C18" s="15" t="s">
        <v>336</v>
      </c>
      <c r="D18" s="15">
        <v>14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x14ac:dyDescent="0.25">
      <c r="A19" s="16">
        <v>8</v>
      </c>
      <c r="B19" s="16" t="s">
        <v>337</v>
      </c>
      <c r="C19" s="15" t="s">
        <v>328</v>
      </c>
      <c r="D19" s="15">
        <v>15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5">
      <c r="A20" s="16">
        <v>9</v>
      </c>
      <c r="B20" s="16" t="s">
        <v>338</v>
      </c>
      <c r="C20" s="15" t="s">
        <v>339</v>
      </c>
      <c r="D20" s="15">
        <v>20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x14ac:dyDescent="0.25">
      <c r="A21" s="16">
        <v>10</v>
      </c>
      <c r="B21" s="16" t="s">
        <v>340</v>
      </c>
      <c r="C21" s="15" t="s">
        <v>341</v>
      </c>
      <c r="D21" s="15">
        <v>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A22" s="16">
        <v>11</v>
      </c>
      <c r="B22" s="16" t="s">
        <v>342</v>
      </c>
      <c r="C22" s="15" t="s">
        <v>343</v>
      </c>
      <c r="D22" s="15">
        <v>3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5">
      <c r="A23" s="16">
        <v>12</v>
      </c>
      <c r="B23" s="16" t="s">
        <v>344</v>
      </c>
      <c r="C23" s="15" t="s">
        <v>345</v>
      </c>
      <c r="D23" s="15">
        <v>13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16">
        <v>13</v>
      </c>
      <c r="B24" s="16" t="s">
        <v>346</v>
      </c>
      <c r="C24" s="15" t="s">
        <v>347</v>
      </c>
      <c r="D24" s="15">
        <v>10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16">
        <v>14</v>
      </c>
      <c r="B25" s="16" t="s">
        <v>348</v>
      </c>
      <c r="C25" s="15" t="s">
        <v>349</v>
      </c>
      <c r="D25" s="15">
        <v>8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16">
        <v>15</v>
      </c>
      <c r="B26" s="16" t="s">
        <v>350</v>
      </c>
      <c r="C26" s="15" t="s">
        <v>351</v>
      </c>
      <c r="D26" s="15">
        <v>14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16">
        <v>16</v>
      </c>
      <c r="B27" s="16" t="s">
        <v>352</v>
      </c>
      <c r="C27" s="15" t="s">
        <v>353</v>
      </c>
      <c r="D27" s="15">
        <v>16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6">
        <v>17</v>
      </c>
      <c r="B28" s="16" t="s">
        <v>354</v>
      </c>
      <c r="C28" s="15" t="s">
        <v>353</v>
      </c>
      <c r="D28" s="15">
        <v>16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16">
        <v>18</v>
      </c>
      <c r="B29" s="16" t="s">
        <v>355</v>
      </c>
      <c r="C29" s="15" t="s">
        <v>356</v>
      </c>
      <c r="D29" s="15">
        <v>13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6">
        <v>19</v>
      </c>
      <c r="B30" s="16" t="s">
        <v>357</v>
      </c>
      <c r="C30" s="15" t="s">
        <v>358</v>
      </c>
      <c r="D30" s="15">
        <v>19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16">
        <v>20</v>
      </c>
      <c r="B31" s="16" t="s">
        <v>359</v>
      </c>
      <c r="C31" s="15" t="s">
        <v>360</v>
      </c>
      <c r="D31" s="15">
        <v>17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6">
        <v>21</v>
      </c>
      <c r="B32" s="16" t="s">
        <v>361</v>
      </c>
      <c r="C32" s="15" t="s">
        <v>362</v>
      </c>
      <c r="D32" s="15">
        <v>19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25">
      <c r="A33" s="16">
        <v>22</v>
      </c>
      <c r="B33" s="16" t="s">
        <v>363</v>
      </c>
      <c r="C33" s="15" t="s">
        <v>364</v>
      </c>
      <c r="D33" s="15">
        <v>1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25">
      <c r="A34" s="16">
        <v>23</v>
      </c>
      <c r="B34" s="16" t="s">
        <v>365</v>
      </c>
      <c r="C34" s="15" t="s">
        <v>366</v>
      </c>
      <c r="D34" s="15">
        <v>18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16">
        <v>24</v>
      </c>
      <c r="B35" s="16" t="s">
        <v>367</v>
      </c>
      <c r="C35" s="15" t="s">
        <v>368</v>
      </c>
      <c r="D35" s="15">
        <v>12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5">
      <c r="A36" s="16">
        <v>25</v>
      </c>
      <c r="B36" s="16" t="s">
        <v>369</v>
      </c>
      <c r="C36" s="15" t="s">
        <v>370</v>
      </c>
      <c r="D36" s="15">
        <v>2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16">
        <v>26</v>
      </c>
      <c r="B37" s="16" t="s">
        <v>371</v>
      </c>
      <c r="C37" s="15" t="s">
        <v>372</v>
      </c>
      <c r="D37" s="15">
        <v>4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16">
        <v>27</v>
      </c>
      <c r="B38" s="16" t="s">
        <v>373</v>
      </c>
      <c r="C38" s="15" t="s">
        <v>374</v>
      </c>
      <c r="D38" s="15">
        <v>12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16">
        <v>28</v>
      </c>
      <c r="B39" s="16" t="s">
        <v>375</v>
      </c>
      <c r="C39" s="15" t="s">
        <v>376</v>
      </c>
      <c r="D39" s="15">
        <v>15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6">
        <v>29</v>
      </c>
      <c r="B40" s="16" t="s">
        <v>377</v>
      </c>
      <c r="C40" s="15" t="s">
        <v>378</v>
      </c>
      <c r="D40" s="15">
        <v>15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16">
        <v>30</v>
      </c>
      <c r="B41" s="16" t="s">
        <v>379</v>
      </c>
      <c r="C41" s="15" t="s">
        <v>380</v>
      </c>
      <c r="D41" s="15">
        <v>20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3" spans="1:14" x14ac:dyDescent="0.25">
      <c r="B43" s="13" t="s">
        <v>381</v>
      </c>
    </row>
    <row r="44" spans="1:14" x14ac:dyDescent="0.25">
      <c r="A44" s="13">
        <v>1</v>
      </c>
      <c r="B44" s="13" t="s">
        <v>382</v>
      </c>
    </row>
    <row r="45" spans="1:14" x14ac:dyDescent="0.25">
      <c r="B45" t="s">
        <v>383</v>
      </c>
    </row>
    <row r="46" spans="1:14" x14ac:dyDescent="0.25">
      <c r="B46" s="93" t="s">
        <v>384</v>
      </c>
    </row>
    <row r="47" spans="1:14" x14ac:dyDescent="0.25">
      <c r="B47" s="93" t="s">
        <v>385</v>
      </c>
    </row>
    <row r="49" spans="1:2" x14ac:dyDescent="0.25">
      <c r="A49" s="13">
        <v>2</v>
      </c>
      <c r="B49" s="13" t="s">
        <v>386</v>
      </c>
    </row>
    <row r="50" spans="1:2" x14ac:dyDescent="0.25">
      <c r="B50" t="s">
        <v>387</v>
      </c>
    </row>
    <row r="51" spans="1:2" x14ac:dyDescent="0.25">
      <c r="B51" s="93" t="s">
        <v>388</v>
      </c>
    </row>
    <row r="52" spans="1:2" x14ac:dyDescent="0.25">
      <c r="B52" s="93" t="s">
        <v>389</v>
      </c>
    </row>
    <row r="53" spans="1:2" x14ac:dyDescent="0.25">
      <c r="B53" s="93" t="s">
        <v>390</v>
      </c>
    </row>
    <row r="54" spans="1:2" x14ac:dyDescent="0.25">
      <c r="B54" s="93" t="s">
        <v>391</v>
      </c>
    </row>
    <row r="56" spans="1:2" x14ac:dyDescent="0.25">
      <c r="A56" s="13">
        <v>3</v>
      </c>
      <c r="B56" s="13" t="s">
        <v>392</v>
      </c>
    </row>
    <row r="57" spans="1:2" x14ac:dyDescent="0.25">
      <c r="B57" t="s">
        <v>393</v>
      </c>
    </row>
    <row r="58" spans="1:2" x14ac:dyDescent="0.25">
      <c r="B58" s="93" t="s">
        <v>394</v>
      </c>
    </row>
    <row r="59" spans="1:2" x14ac:dyDescent="0.25">
      <c r="B59" s="93" t="s">
        <v>395</v>
      </c>
    </row>
    <row r="60" spans="1:2" x14ac:dyDescent="0.25">
      <c r="B60" s="93" t="s">
        <v>396</v>
      </c>
    </row>
    <row r="61" spans="1:2" x14ac:dyDescent="0.25">
      <c r="B61" s="93" t="s">
        <v>397</v>
      </c>
    </row>
    <row r="62" spans="1:2" x14ac:dyDescent="0.25">
      <c r="B62" s="93" t="s">
        <v>398</v>
      </c>
    </row>
    <row r="63" spans="1:2" x14ac:dyDescent="0.25">
      <c r="B63" s="93" t="s">
        <v>399</v>
      </c>
    </row>
    <row r="65" spans="1:2" x14ac:dyDescent="0.25">
      <c r="A65" s="13">
        <v>4</v>
      </c>
      <c r="B65" s="13" t="s">
        <v>400</v>
      </c>
    </row>
    <row r="66" spans="1:2" x14ac:dyDescent="0.25">
      <c r="B66" t="s">
        <v>401</v>
      </c>
    </row>
    <row r="67" spans="1:2" x14ac:dyDescent="0.25">
      <c r="B67" s="93" t="s">
        <v>402</v>
      </c>
    </row>
    <row r="68" spans="1:2" x14ac:dyDescent="0.25">
      <c r="B68" s="93" t="s">
        <v>403</v>
      </c>
    </row>
    <row r="69" spans="1:2" x14ac:dyDescent="0.25">
      <c r="B69" s="93" t="s">
        <v>404</v>
      </c>
    </row>
    <row r="71" spans="1:2" x14ac:dyDescent="0.25">
      <c r="A71" s="13">
        <v>5</v>
      </c>
      <c r="B71" s="13" t="s">
        <v>405</v>
      </c>
    </row>
    <row r="72" spans="1:2" x14ac:dyDescent="0.25">
      <c r="B72" t="s">
        <v>406</v>
      </c>
    </row>
    <row r="73" spans="1:2" x14ac:dyDescent="0.25">
      <c r="B73" s="93" t="s">
        <v>407</v>
      </c>
    </row>
    <row r="75" spans="1:2" x14ac:dyDescent="0.25">
      <c r="A75" s="13">
        <v>6</v>
      </c>
      <c r="B75" s="13" t="s">
        <v>408</v>
      </c>
    </row>
    <row r="76" spans="1:2" x14ac:dyDescent="0.25">
      <c r="B76" t="s">
        <v>409</v>
      </c>
    </row>
    <row r="77" spans="1:2" x14ac:dyDescent="0.25">
      <c r="B77" s="93" t="s">
        <v>410</v>
      </c>
    </row>
    <row r="78" spans="1:2" x14ac:dyDescent="0.25">
      <c r="B78" s="93" t="s">
        <v>411</v>
      </c>
    </row>
    <row r="79" spans="1:2" x14ac:dyDescent="0.25">
      <c r="B79" s="93" t="s">
        <v>412</v>
      </c>
    </row>
    <row r="80" spans="1:2" x14ac:dyDescent="0.25">
      <c r="B80" s="93" t="s">
        <v>413</v>
      </c>
    </row>
    <row r="82" spans="1:2" x14ac:dyDescent="0.25">
      <c r="A82" s="13">
        <v>7</v>
      </c>
      <c r="B82" s="13" t="s">
        <v>414</v>
      </c>
    </row>
    <row r="83" spans="1:2" x14ac:dyDescent="0.25">
      <c r="B83" t="s">
        <v>415</v>
      </c>
    </row>
    <row r="84" spans="1:2" x14ac:dyDescent="0.25">
      <c r="B84" t="s">
        <v>416</v>
      </c>
    </row>
    <row r="86" spans="1:2" x14ac:dyDescent="0.25">
      <c r="A86" s="13">
        <v>8</v>
      </c>
      <c r="B86" s="13" t="s">
        <v>417</v>
      </c>
    </row>
    <row r="87" spans="1:2" x14ac:dyDescent="0.25">
      <c r="B87" t="s">
        <v>418</v>
      </c>
    </row>
    <row r="89" spans="1:2" x14ac:dyDescent="0.25">
      <c r="A89" s="13">
        <v>9</v>
      </c>
      <c r="B89" s="13" t="s">
        <v>419</v>
      </c>
    </row>
    <row r="90" spans="1:2" x14ac:dyDescent="0.25">
      <c r="B90" t="s">
        <v>420</v>
      </c>
    </row>
    <row r="92" spans="1:2" x14ac:dyDescent="0.25">
      <c r="A92" s="13">
        <v>10</v>
      </c>
      <c r="B92" s="13" t="s">
        <v>421</v>
      </c>
    </row>
    <row r="93" spans="1:2" x14ac:dyDescent="0.25">
      <c r="B93" t="s">
        <v>422</v>
      </c>
    </row>
  </sheetData>
  <mergeCells count="5">
    <mergeCell ref="C2:G2"/>
    <mergeCell ref="C3:G3"/>
    <mergeCell ref="C4:G4"/>
    <mergeCell ref="A9:N9"/>
    <mergeCell ref="A10:N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24BEE-AA3A-45F2-8EA2-F34E1EE41DC5}">
  <dimension ref="A1"/>
  <sheetViews>
    <sheetView workbookViewId="0">
      <selection activeCell="K31" sqref="K31"/>
    </sheetView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ADEBA-9A58-45A6-90F9-A5F505F76E1F}">
  <dimension ref="A1:N93"/>
  <sheetViews>
    <sheetView topLeftCell="A9" zoomScale="85" zoomScaleNormal="85" workbookViewId="0">
      <selection activeCell="G13" sqref="G13"/>
    </sheetView>
  </sheetViews>
  <sheetFormatPr defaultRowHeight="15" x14ac:dyDescent="0.25"/>
  <cols>
    <col min="1" max="1" width="4.5703125" customWidth="1"/>
    <col min="2" max="2" width="31.28515625" bestFit="1" customWidth="1"/>
    <col min="3" max="3" width="7.42578125" bestFit="1" customWidth="1"/>
    <col min="4" max="4" width="4.7109375" bestFit="1" customWidth="1"/>
    <col min="5" max="5" width="13.140625" customWidth="1"/>
    <col min="6" max="6" width="12.140625" bestFit="1" customWidth="1"/>
    <col min="7" max="7" width="16.42578125" customWidth="1"/>
    <col min="8" max="8" width="14.85546875" bestFit="1" customWidth="1"/>
    <col min="9" max="9" width="12.28515625" bestFit="1" customWidth="1"/>
    <col min="10" max="10" width="14.85546875" bestFit="1" customWidth="1"/>
    <col min="11" max="11" width="12.28515625" bestFit="1" customWidth="1"/>
    <col min="12" max="12" width="14.85546875" bestFit="1" customWidth="1"/>
    <col min="13" max="13" width="13.42578125" bestFit="1" customWidth="1"/>
    <col min="14" max="14" width="14.85546875" bestFit="1" customWidth="1"/>
  </cols>
  <sheetData>
    <row r="1" spans="1:14" x14ac:dyDescent="0.25">
      <c r="A1" s="13" t="s">
        <v>302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89" t="s">
        <v>303</v>
      </c>
      <c r="B2" s="90"/>
      <c r="C2" s="185"/>
      <c r="D2" s="186"/>
      <c r="E2" s="186"/>
      <c r="F2" s="186"/>
      <c r="G2" s="187"/>
      <c r="H2" s="78"/>
    </row>
    <row r="3" spans="1:14" x14ac:dyDescent="0.25">
      <c r="A3" s="89" t="s">
        <v>304</v>
      </c>
      <c r="B3" s="90"/>
      <c r="C3" s="185"/>
      <c r="D3" s="186"/>
      <c r="E3" s="186"/>
      <c r="F3" s="186"/>
      <c r="G3" s="187"/>
      <c r="H3" s="78"/>
    </row>
    <row r="4" spans="1:14" x14ac:dyDescent="0.25">
      <c r="A4" s="89" t="s">
        <v>305</v>
      </c>
      <c r="B4" s="90"/>
      <c r="C4" s="185"/>
      <c r="D4" s="186"/>
      <c r="E4" s="186"/>
      <c r="F4" s="186"/>
      <c r="G4" s="187"/>
      <c r="H4" s="78"/>
    </row>
    <row r="5" spans="1:14" x14ac:dyDescent="0.25">
      <c r="A5" t="s">
        <v>306</v>
      </c>
    </row>
    <row r="6" spans="1:14" x14ac:dyDescent="0.25">
      <c r="A6" s="91" t="s">
        <v>307</v>
      </c>
    </row>
    <row r="7" spans="1:14" x14ac:dyDescent="0.25">
      <c r="A7" s="91" t="s">
        <v>308</v>
      </c>
    </row>
    <row r="9" spans="1:14" x14ac:dyDescent="0.25">
      <c r="A9" s="116" t="s">
        <v>309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x14ac:dyDescent="0.25">
      <c r="A10" s="188" t="s">
        <v>310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</row>
    <row r="11" spans="1:14" ht="60" x14ac:dyDescent="0.25">
      <c r="A11" s="92" t="s">
        <v>36</v>
      </c>
      <c r="B11" s="92" t="s">
        <v>77</v>
      </c>
      <c r="C11" s="92" t="s">
        <v>311</v>
      </c>
      <c r="D11" s="92" t="s">
        <v>312</v>
      </c>
      <c r="E11" s="92" t="s">
        <v>313</v>
      </c>
      <c r="F11" s="92" t="s">
        <v>314</v>
      </c>
      <c r="G11" s="92" t="s">
        <v>315</v>
      </c>
      <c r="H11" s="92" t="s">
        <v>316</v>
      </c>
      <c r="I11" s="92" t="s">
        <v>317</v>
      </c>
      <c r="J11" s="92" t="s">
        <v>318</v>
      </c>
      <c r="K11" s="92" t="s">
        <v>319</v>
      </c>
      <c r="L11" s="92" t="s">
        <v>320</v>
      </c>
      <c r="M11" s="92" t="s">
        <v>321</v>
      </c>
      <c r="N11" s="92" t="s">
        <v>322</v>
      </c>
    </row>
    <row r="12" spans="1:14" x14ac:dyDescent="0.25">
      <c r="A12" s="16">
        <v>1</v>
      </c>
      <c r="B12" s="16" t="s">
        <v>323</v>
      </c>
      <c r="C12" s="15" t="s">
        <v>324</v>
      </c>
      <c r="D12" s="15">
        <v>20</v>
      </c>
      <c r="E12" s="94" t="str">
        <f>IF(RIGHT(C12,1)="L","LAKI-LAKI","PEREMPUAN")</f>
        <v>LAKI-LAKI</v>
      </c>
      <c r="F12" s="94" t="str">
        <f>IF(MID(C12,2,2)="PP","PIATU",IF(MID(C12,2,2)="YY","YATIM",IF(MID(C12,2,2)="YP","YATIM PIATU","LENGKAP")))</f>
        <v>PIATU</v>
      </c>
      <c r="G12" s="94" t="str">
        <f>IF(VALUE(LEFT(C12,1))=0,"TIDAK SEKOLAH",IF(VALUE(LEFT(C12,1))=1,"TK",(IF(VALUE(LEFT(C12,1))=2,"SD",IF(VALUE(LEFT(C12,1))=3,"SMP",IF(VALUE(LEFT(C12,1))=4,"SMA","KULIAH"))))))</f>
        <v>KULIAH</v>
      </c>
      <c r="H12" s="95">
        <f>IF(AND(D12&lt;=15,F12="YATIM PIATU"),2000000,IF(AND(D12&lt;=15,OR(F12="YATIM",F12="PIATU")),1500000,0))</f>
        <v>0</v>
      </c>
      <c r="I12" s="95">
        <f>H12*2%</f>
        <v>0</v>
      </c>
      <c r="J12" s="95">
        <f>IF(AND(F12="YATIM PIATU",OR(G12="SMA",G12="KULIAH")),3000000,IF(AND(F12="YATIM PIATU",OR(G12="TK",G12="SD",G12="SMP")),2500000,IF(AND(OR(F12="YATIM",F12="PIATU"),OR(G12="SMA",G12="KULIAH")),2000000,IF(AND(OR(F12="YATIM",F12="PIATU"),OR(G12="TK",G12="SD",G12="SMP")),1500000,0))))</f>
        <v>2000000</v>
      </c>
      <c r="K12" s="95">
        <f>J12*2.5%</f>
        <v>50000</v>
      </c>
      <c r="L12" s="95">
        <f>H12+J12</f>
        <v>2000000</v>
      </c>
      <c r="M12" s="95">
        <f>I12+K12</f>
        <v>50000</v>
      </c>
      <c r="N12" s="95">
        <f>L12-M12</f>
        <v>1950000</v>
      </c>
    </row>
    <row r="13" spans="1:14" x14ac:dyDescent="0.25">
      <c r="A13" s="16">
        <v>2</v>
      </c>
      <c r="B13" s="16" t="s">
        <v>325</v>
      </c>
      <c r="C13" s="15" t="s">
        <v>326</v>
      </c>
      <c r="D13" s="15">
        <v>4</v>
      </c>
      <c r="E13" s="94" t="str">
        <f t="shared" ref="E13:E41" si="0">IF(RIGHT(C13,1)="L","LAKI-LAKI","PEREMPUAN")</f>
        <v>LAKI-LAKI</v>
      </c>
      <c r="F13" s="94" t="str">
        <f t="shared" ref="F13:F41" si="1">IF(MID(C13,2,2)="PP","PIATU",IF(MID(C13,2,2)="YY","YATIM",IF(MID(C13,2,2)="YP","YATIM PIATU","LENGKAP")))</f>
        <v>YATIM PIATU</v>
      </c>
      <c r="G13" s="94" t="str">
        <f t="shared" ref="G13:G41" si="2">IF(VALUE(LEFT(C13,1))=0,"TIDAK SEKOLAH",IF(VALUE(LEFT(C13,1))=1,"TK",(IF(VALUE(LEFT(C13,1))=2,"SD",IF(VALUE(LEFT(C13,1))=3,"SMP",IF(VALUE(LEFT(C13,1))=4,"SMA","KULIAH"))))))</f>
        <v>TIDAK SEKOLAH</v>
      </c>
      <c r="H13" s="95">
        <f t="shared" ref="H13:H41" si="3">IF(AND(D13&lt;=15,F13="YATIM PIATU"),2000000,IF(AND(D13&lt;=15,OR(F13="YATIM",F13="PIATU")),1500000,0))</f>
        <v>2000000</v>
      </c>
      <c r="I13" s="95">
        <f t="shared" ref="I13:I41" si="4">H13*2%</f>
        <v>40000</v>
      </c>
      <c r="J13" s="95">
        <f t="shared" ref="J13:J41" si="5">IF(AND(F13="YATIM PIATU",OR(G13="SMA",G13="KULIAH")),3000000,IF(AND(F13="YATIM PIATU",OR(G13="TK",G13="SD",G13="SMP")),2500000,IF(AND(OR(F13="YATIM",F13="PIATU"),OR(G13="SMA",G13="KULIAH")),2000000,IF(AND(OR(F13="YATIM",F13="PIATU"),OR(G13="TK",G13="SD",G13="SMP")),1500000,0))))</f>
        <v>0</v>
      </c>
      <c r="K13" s="95">
        <f t="shared" ref="K13:K41" si="6">J13*2.5%</f>
        <v>0</v>
      </c>
      <c r="L13" s="95">
        <f t="shared" ref="L13:M41" si="7">H13+J13</f>
        <v>2000000</v>
      </c>
      <c r="M13" s="95">
        <f t="shared" si="7"/>
        <v>40000</v>
      </c>
      <c r="N13" s="95">
        <f t="shared" ref="N13:N41" si="8">L13-M13</f>
        <v>1960000</v>
      </c>
    </row>
    <row r="14" spans="1:14" x14ac:dyDescent="0.25">
      <c r="A14" s="16">
        <v>3</v>
      </c>
      <c r="B14" s="16" t="s">
        <v>327</v>
      </c>
      <c r="C14" s="15" t="s">
        <v>328</v>
      </c>
      <c r="D14" s="15">
        <v>15</v>
      </c>
      <c r="E14" s="94" t="str">
        <f t="shared" si="0"/>
        <v>PEREMPUAN</v>
      </c>
      <c r="F14" s="94" t="str">
        <f t="shared" si="1"/>
        <v>YATIM</v>
      </c>
      <c r="G14" s="94" t="str">
        <f t="shared" si="2"/>
        <v>SMA</v>
      </c>
      <c r="H14" s="95">
        <f t="shared" si="3"/>
        <v>1500000</v>
      </c>
      <c r="I14" s="95">
        <f t="shared" si="4"/>
        <v>30000</v>
      </c>
      <c r="J14" s="95">
        <f t="shared" si="5"/>
        <v>2000000</v>
      </c>
      <c r="K14" s="95">
        <f t="shared" si="6"/>
        <v>50000</v>
      </c>
      <c r="L14" s="95">
        <f t="shared" si="7"/>
        <v>3500000</v>
      </c>
      <c r="M14" s="95">
        <f t="shared" si="7"/>
        <v>80000</v>
      </c>
      <c r="N14" s="95">
        <f t="shared" si="8"/>
        <v>3420000</v>
      </c>
    </row>
    <row r="15" spans="1:14" x14ac:dyDescent="0.25">
      <c r="A15" s="16">
        <v>4</v>
      </c>
      <c r="B15" s="16" t="s">
        <v>329</v>
      </c>
      <c r="C15" s="15" t="s">
        <v>330</v>
      </c>
      <c r="D15" s="15">
        <v>17</v>
      </c>
      <c r="E15" s="94" t="str">
        <f t="shared" si="0"/>
        <v>PEREMPUAN</v>
      </c>
      <c r="F15" s="94" t="str">
        <f t="shared" si="1"/>
        <v>YATIM PIATU</v>
      </c>
      <c r="G15" s="94" t="str">
        <f t="shared" si="2"/>
        <v>TIDAK SEKOLAH</v>
      </c>
      <c r="H15" s="95">
        <f t="shared" si="3"/>
        <v>0</v>
      </c>
      <c r="I15" s="95">
        <f t="shared" si="4"/>
        <v>0</v>
      </c>
      <c r="J15" s="95">
        <f t="shared" si="5"/>
        <v>0</v>
      </c>
      <c r="K15" s="95">
        <f t="shared" si="6"/>
        <v>0</v>
      </c>
      <c r="L15" s="95">
        <f t="shared" si="7"/>
        <v>0</v>
      </c>
      <c r="M15" s="95">
        <f t="shared" si="7"/>
        <v>0</v>
      </c>
      <c r="N15" s="95">
        <f t="shared" si="8"/>
        <v>0</v>
      </c>
    </row>
    <row r="16" spans="1:14" x14ac:dyDescent="0.25">
      <c r="A16" s="16">
        <v>5</v>
      </c>
      <c r="B16" s="16" t="s">
        <v>331</v>
      </c>
      <c r="C16" s="15" t="s">
        <v>332</v>
      </c>
      <c r="D16" s="15">
        <v>5</v>
      </c>
      <c r="E16" s="94" t="str">
        <f t="shared" si="0"/>
        <v>LAKI-LAKI</v>
      </c>
      <c r="F16" s="94" t="str">
        <f t="shared" si="1"/>
        <v>PIATU</v>
      </c>
      <c r="G16" s="94" t="str">
        <f t="shared" si="2"/>
        <v>TK</v>
      </c>
      <c r="H16" s="95">
        <f t="shared" si="3"/>
        <v>1500000</v>
      </c>
      <c r="I16" s="95">
        <f t="shared" si="4"/>
        <v>30000</v>
      </c>
      <c r="J16" s="95">
        <f t="shared" si="5"/>
        <v>1500000</v>
      </c>
      <c r="K16" s="95">
        <f t="shared" si="6"/>
        <v>37500</v>
      </c>
      <c r="L16" s="95">
        <f t="shared" si="7"/>
        <v>3000000</v>
      </c>
      <c r="M16" s="95">
        <f t="shared" si="7"/>
        <v>67500</v>
      </c>
      <c r="N16" s="95">
        <f t="shared" si="8"/>
        <v>2932500</v>
      </c>
    </row>
    <row r="17" spans="1:14" x14ac:dyDescent="0.25">
      <c r="A17" s="16">
        <v>6</v>
      </c>
      <c r="B17" s="16" t="s">
        <v>333</v>
      </c>
      <c r="C17" s="15" t="s">
        <v>334</v>
      </c>
      <c r="D17" s="15">
        <v>15</v>
      </c>
      <c r="E17" s="94" t="str">
        <f t="shared" si="0"/>
        <v>PEREMPUAN</v>
      </c>
      <c r="F17" s="94" t="str">
        <f t="shared" si="1"/>
        <v>YATIM PIATU</v>
      </c>
      <c r="G17" s="94" t="str">
        <f t="shared" si="2"/>
        <v>SMP</v>
      </c>
      <c r="H17" s="95">
        <f t="shared" si="3"/>
        <v>2000000</v>
      </c>
      <c r="I17" s="95">
        <f t="shared" si="4"/>
        <v>40000</v>
      </c>
      <c r="J17" s="95">
        <f t="shared" si="5"/>
        <v>2500000</v>
      </c>
      <c r="K17" s="95">
        <f t="shared" si="6"/>
        <v>62500</v>
      </c>
      <c r="L17" s="95">
        <f t="shared" si="7"/>
        <v>4500000</v>
      </c>
      <c r="M17" s="95">
        <f t="shared" si="7"/>
        <v>102500</v>
      </c>
      <c r="N17" s="95">
        <f t="shared" si="8"/>
        <v>4397500</v>
      </c>
    </row>
    <row r="18" spans="1:14" x14ac:dyDescent="0.25">
      <c r="A18" s="16">
        <v>7</v>
      </c>
      <c r="B18" s="16" t="s">
        <v>335</v>
      </c>
      <c r="C18" s="15" t="s">
        <v>336</v>
      </c>
      <c r="D18" s="15">
        <v>14</v>
      </c>
      <c r="E18" s="94" t="str">
        <f t="shared" si="0"/>
        <v>PEREMPUAN</v>
      </c>
      <c r="F18" s="94" t="str">
        <f t="shared" si="1"/>
        <v>PIATU</v>
      </c>
      <c r="G18" s="94" t="str">
        <f t="shared" si="2"/>
        <v>SMP</v>
      </c>
      <c r="H18" s="95">
        <f t="shared" si="3"/>
        <v>1500000</v>
      </c>
      <c r="I18" s="95">
        <f t="shared" si="4"/>
        <v>30000</v>
      </c>
      <c r="J18" s="95">
        <f t="shared" si="5"/>
        <v>1500000</v>
      </c>
      <c r="K18" s="95">
        <f t="shared" si="6"/>
        <v>37500</v>
      </c>
      <c r="L18" s="95">
        <f t="shared" si="7"/>
        <v>3000000</v>
      </c>
      <c r="M18" s="95">
        <f t="shared" si="7"/>
        <v>67500</v>
      </c>
      <c r="N18" s="95">
        <f t="shared" si="8"/>
        <v>2932500</v>
      </c>
    </row>
    <row r="19" spans="1:14" x14ac:dyDescent="0.25">
      <c r="A19" s="16">
        <v>8</v>
      </c>
      <c r="B19" s="16" t="s">
        <v>337</v>
      </c>
      <c r="C19" s="15" t="s">
        <v>328</v>
      </c>
      <c r="D19" s="15">
        <v>15</v>
      </c>
      <c r="E19" s="94" t="str">
        <f t="shared" si="0"/>
        <v>PEREMPUAN</v>
      </c>
      <c r="F19" s="94" t="str">
        <f t="shared" si="1"/>
        <v>YATIM</v>
      </c>
      <c r="G19" s="94" t="str">
        <f t="shared" si="2"/>
        <v>SMA</v>
      </c>
      <c r="H19" s="95">
        <f t="shared" si="3"/>
        <v>1500000</v>
      </c>
      <c r="I19" s="95">
        <f t="shared" si="4"/>
        <v>30000</v>
      </c>
      <c r="J19" s="95">
        <f t="shared" si="5"/>
        <v>2000000</v>
      </c>
      <c r="K19" s="95">
        <f t="shared" si="6"/>
        <v>50000</v>
      </c>
      <c r="L19" s="95">
        <f t="shared" si="7"/>
        <v>3500000</v>
      </c>
      <c r="M19" s="95">
        <f t="shared" si="7"/>
        <v>80000</v>
      </c>
      <c r="N19" s="95">
        <f t="shared" si="8"/>
        <v>3420000</v>
      </c>
    </row>
    <row r="20" spans="1:14" x14ac:dyDescent="0.25">
      <c r="A20" s="16">
        <v>9</v>
      </c>
      <c r="B20" s="16" t="s">
        <v>338</v>
      </c>
      <c r="C20" s="15" t="s">
        <v>339</v>
      </c>
      <c r="D20" s="15">
        <v>20</v>
      </c>
      <c r="E20" s="94" t="str">
        <f t="shared" si="0"/>
        <v>PEREMPUAN</v>
      </c>
      <c r="F20" s="94" t="str">
        <f t="shared" si="1"/>
        <v>YATIM PIATU</v>
      </c>
      <c r="G20" s="94" t="str">
        <f t="shared" si="2"/>
        <v>KULIAH</v>
      </c>
      <c r="H20" s="95">
        <f t="shared" si="3"/>
        <v>0</v>
      </c>
      <c r="I20" s="95">
        <f t="shared" si="4"/>
        <v>0</v>
      </c>
      <c r="J20" s="95">
        <f t="shared" si="5"/>
        <v>3000000</v>
      </c>
      <c r="K20" s="95">
        <f t="shared" si="6"/>
        <v>75000</v>
      </c>
      <c r="L20" s="95">
        <f t="shared" si="7"/>
        <v>3000000</v>
      </c>
      <c r="M20" s="95">
        <f t="shared" si="7"/>
        <v>75000</v>
      </c>
      <c r="N20" s="95">
        <f t="shared" si="8"/>
        <v>2925000</v>
      </c>
    </row>
    <row r="21" spans="1:14" x14ac:dyDescent="0.25">
      <c r="A21" s="16">
        <v>10</v>
      </c>
      <c r="B21" s="16" t="s">
        <v>340</v>
      </c>
      <c r="C21" s="15" t="s">
        <v>341</v>
      </c>
      <c r="D21" s="15">
        <v>3</v>
      </c>
      <c r="E21" s="94" t="str">
        <f t="shared" si="0"/>
        <v>PEREMPUAN</v>
      </c>
      <c r="F21" s="94" t="str">
        <f t="shared" si="1"/>
        <v>LENGKAP</v>
      </c>
      <c r="G21" s="94" t="str">
        <f t="shared" si="2"/>
        <v>TIDAK SEKOLAH</v>
      </c>
      <c r="H21" s="95">
        <f t="shared" si="3"/>
        <v>0</v>
      </c>
      <c r="I21" s="95">
        <f t="shared" si="4"/>
        <v>0</v>
      </c>
      <c r="J21" s="95">
        <f t="shared" si="5"/>
        <v>0</v>
      </c>
      <c r="K21" s="95">
        <f t="shared" si="6"/>
        <v>0</v>
      </c>
      <c r="L21" s="95">
        <f t="shared" si="7"/>
        <v>0</v>
      </c>
      <c r="M21" s="95">
        <f t="shared" si="7"/>
        <v>0</v>
      </c>
      <c r="N21" s="95">
        <f t="shared" si="8"/>
        <v>0</v>
      </c>
    </row>
    <row r="22" spans="1:14" x14ac:dyDescent="0.25">
      <c r="A22" s="16">
        <v>11</v>
      </c>
      <c r="B22" s="16" t="s">
        <v>342</v>
      </c>
      <c r="C22" s="15" t="s">
        <v>343</v>
      </c>
      <c r="D22" s="15">
        <v>3</v>
      </c>
      <c r="E22" s="94" t="str">
        <f t="shared" si="0"/>
        <v>LAKI-LAKI</v>
      </c>
      <c r="F22" s="94" t="str">
        <f t="shared" si="1"/>
        <v>LENGKAP</v>
      </c>
      <c r="G22" s="94" t="str">
        <f t="shared" si="2"/>
        <v>TK</v>
      </c>
      <c r="H22" s="95">
        <f t="shared" si="3"/>
        <v>0</v>
      </c>
      <c r="I22" s="95">
        <f t="shared" si="4"/>
        <v>0</v>
      </c>
      <c r="J22" s="95">
        <f t="shared" si="5"/>
        <v>0</v>
      </c>
      <c r="K22" s="95">
        <f t="shared" si="6"/>
        <v>0</v>
      </c>
      <c r="L22" s="95">
        <f t="shared" si="7"/>
        <v>0</v>
      </c>
      <c r="M22" s="95">
        <f t="shared" si="7"/>
        <v>0</v>
      </c>
      <c r="N22" s="95">
        <f t="shared" si="8"/>
        <v>0</v>
      </c>
    </row>
    <row r="23" spans="1:14" x14ac:dyDescent="0.25">
      <c r="A23" s="16">
        <v>12</v>
      </c>
      <c r="B23" s="16" t="s">
        <v>344</v>
      </c>
      <c r="C23" s="15" t="s">
        <v>345</v>
      </c>
      <c r="D23" s="15">
        <v>13</v>
      </c>
      <c r="E23" s="94" t="str">
        <f t="shared" si="0"/>
        <v>LAKI-LAKI</v>
      </c>
      <c r="F23" s="94" t="str">
        <f t="shared" si="1"/>
        <v>YATIM</v>
      </c>
      <c r="G23" s="94" t="str">
        <f t="shared" si="2"/>
        <v>SMP</v>
      </c>
      <c r="H23" s="95">
        <f t="shared" si="3"/>
        <v>1500000</v>
      </c>
      <c r="I23" s="95">
        <f t="shared" si="4"/>
        <v>30000</v>
      </c>
      <c r="J23" s="95">
        <f t="shared" si="5"/>
        <v>1500000</v>
      </c>
      <c r="K23" s="95">
        <f t="shared" si="6"/>
        <v>37500</v>
      </c>
      <c r="L23" s="95">
        <f t="shared" si="7"/>
        <v>3000000</v>
      </c>
      <c r="M23" s="95">
        <f t="shared" si="7"/>
        <v>67500</v>
      </c>
      <c r="N23" s="95">
        <f t="shared" si="8"/>
        <v>2932500</v>
      </c>
    </row>
    <row r="24" spans="1:14" x14ac:dyDescent="0.25">
      <c r="A24" s="16">
        <v>13</v>
      </c>
      <c r="B24" s="16" t="s">
        <v>346</v>
      </c>
      <c r="C24" s="15" t="s">
        <v>347</v>
      </c>
      <c r="D24" s="15">
        <v>10</v>
      </c>
      <c r="E24" s="94" t="str">
        <f t="shared" si="0"/>
        <v>PEREMPUAN</v>
      </c>
      <c r="F24" s="94" t="str">
        <f t="shared" si="1"/>
        <v>LENGKAP</v>
      </c>
      <c r="G24" s="94" t="str">
        <f t="shared" si="2"/>
        <v>SD</v>
      </c>
      <c r="H24" s="95">
        <f t="shared" si="3"/>
        <v>0</v>
      </c>
      <c r="I24" s="95">
        <f t="shared" si="4"/>
        <v>0</v>
      </c>
      <c r="J24" s="95">
        <f t="shared" si="5"/>
        <v>0</v>
      </c>
      <c r="K24" s="95">
        <f t="shared" si="6"/>
        <v>0</v>
      </c>
      <c r="L24" s="95">
        <f t="shared" si="7"/>
        <v>0</v>
      </c>
      <c r="M24" s="95">
        <f t="shared" si="7"/>
        <v>0</v>
      </c>
      <c r="N24" s="95">
        <f t="shared" si="8"/>
        <v>0</v>
      </c>
    </row>
    <row r="25" spans="1:14" x14ac:dyDescent="0.25">
      <c r="A25" s="16">
        <v>14</v>
      </c>
      <c r="B25" s="16" t="s">
        <v>348</v>
      </c>
      <c r="C25" s="15" t="s">
        <v>349</v>
      </c>
      <c r="D25" s="15">
        <v>8</v>
      </c>
      <c r="E25" s="94" t="str">
        <f t="shared" si="0"/>
        <v>PEREMPUAN</v>
      </c>
      <c r="F25" s="94" t="str">
        <f t="shared" si="1"/>
        <v>YATIM</v>
      </c>
      <c r="G25" s="94" t="str">
        <f t="shared" si="2"/>
        <v>SD</v>
      </c>
      <c r="H25" s="95">
        <f t="shared" si="3"/>
        <v>1500000</v>
      </c>
      <c r="I25" s="95">
        <f t="shared" si="4"/>
        <v>30000</v>
      </c>
      <c r="J25" s="95">
        <f t="shared" si="5"/>
        <v>1500000</v>
      </c>
      <c r="K25" s="95">
        <f t="shared" si="6"/>
        <v>37500</v>
      </c>
      <c r="L25" s="95">
        <f t="shared" si="7"/>
        <v>3000000</v>
      </c>
      <c r="M25" s="95">
        <f t="shared" si="7"/>
        <v>67500</v>
      </c>
      <c r="N25" s="95">
        <f t="shared" si="8"/>
        <v>2932500</v>
      </c>
    </row>
    <row r="26" spans="1:14" x14ac:dyDescent="0.25">
      <c r="A26" s="16">
        <v>15</v>
      </c>
      <c r="B26" s="16" t="s">
        <v>350</v>
      </c>
      <c r="C26" s="15" t="s">
        <v>351</v>
      </c>
      <c r="D26" s="15">
        <v>14</v>
      </c>
      <c r="E26" s="94" t="str">
        <f t="shared" si="0"/>
        <v>PEREMPUAN</v>
      </c>
      <c r="F26" s="94" t="str">
        <f t="shared" si="1"/>
        <v>LENGKAP</v>
      </c>
      <c r="G26" s="94" t="str">
        <f t="shared" si="2"/>
        <v>TIDAK SEKOLAH</v>
      </c>
      <c r="H26" s="95">
        <f t="shared" si="3"/>
        <v>0</v>
      </c>
      <c r="I26" s="95">
        <f t="shared" si="4"/>
        <v>0</v>
      </c>
      <c r="J26" s="95">
        <f t="shared" si="5"/>
        <v>0</v>
      </c>
      <c r="K26" s="95">
        <f t="shared" si="6"/>
        <v>0</v>
      </c>
      <c r="L26" s="95">
        <f t="shared" si="7"/>
        <v>0</v>
      </c>
      <c r="M26" s="95">
        <f t="shared" si="7"/>
        <v>0</v>
      </c>
      <c r="N26" s="95">
        <f t="shared" si="8"/>
        <v>0</v>
      </c>
    </row>
    <row r="27" spans="1:14" x14ac:dyDescent="0.25">
      <c r="A27" s="16">
        <v>16</v>
      </c>
      <c r="B27" s="16" t="s">
        <v>352</v>
      </c>
      <c r="C27" s="15" t="s">
        <v>353</v>
      </c>
      <c r="D27" s="15">
        <v>16</v>
      </c>
      <c r="E27" s="94" t="str">
        <f t="shared" si="0"/>
        <v>PEREMPUAN</v>
      </c>
      <c r="F27" s="94" t="str">
        <f t="shared" si="1"/>
        <v>YATIM</v>
      </c>
      <c r="G27" s="94" t="str">
        <f t="shared" si="2"/>
        <v>SMA</v>
      </c>
      <c r="H27" s="95">
        <f t="shared" si="3"/>
        <v>0</v>
      </c>
      <c r="I27" s="95">
        <f t="shared" si="4"/>
        <v>0</v>
      </c>
      <c r="J27" s="95">
        <f t="shared" si="5"/>
        <v>2000000</v>
      </c>
      <c r="K27" s="95">
        <f t="shared" si="6"/>
        <v>50000</v>
      </c>
      <c r="L27" s="95">
        <f t="shared" si="7"/>
        <v>2000000</v>
      </c>
      <c r="M27" s="95">
        <f t="shared" si="7"/>
        <v>50000</v>
      </c>
      <c r="N27" s="95">
        <f t="shared" si="8"/>
        <v>1950000</v>
      </c>
    </row>
    <row r="28" spans="1:14" x14ac:dyDescent="0.25">
      <c r="A28" s="16">
        <v>17</v>
      </c>
      <c r="B28" s="16" t="s">
        <v>354</v>
      </c>
      <c r="C28" s="15" t="s">
        <v>353</v>
      </c>
      <c r="D28" s="15">
        <v>16</v>
      </c>
      <c r="E28" s="94" t="str">
        <f t="shared" si="0"/>
        <v>PEREMPUAN</v>
      </c>
      <c r="F28" s="94" t="str">
        <f t="shared" si="1"/>
        <v>YATIM</v>
      </c>
      <c r="G28" s="94" t="str">
        <f t="shared" si="2"/>
        <v>SMA</v>
      </c>
      <c r="H28" s="95">
        <f t="shared" si="3"/>
        <v>0</v>
      </c>
      <c r="I28" s="95">
        <f t="shared" si="4"/>
        <v>0</v>
      </c>
      <c r="J28" s="95">
        <f t="shared" si="5"/>
        <v>2000000</v>
      </c>
      <c r="K28" s="95">
        <f t="shared" si="6"/>
        <v>50000</v>
      </c>
      <c r="L28" s="95">
        <f t="shared" si="7"/>
        <v>2000000</v>
      </c>
      <c r="M28" s="95">
        <f t="shared" si="7"/>
        <v>50000</v>
      </c>
      <c r="N28" s="95">
        <f t="shared" si="8"/>
        <v>1950000</v>
      </c>
    </row>
    <row r="29" spans="1:14" x14ac:dyDescent="0.25">
      <c r="A29" s="16">
        <v>18</v>
      </c>
      <c r="B29" s="16" t="s">
        <v>355</v>
      </c>
      <c r="C29" s="15" t="s">
        <v>356</v>
      </c>
      <c r="D29" s="15">
        <v>13</v>
      </c>
      <c r="E29" s="94" t="str">
        <f t="shared" si="0"/>
        <v>LAKI-LAKI</v>
      </c>
      <c r="F29" s="94" t="str">
        <f t="shared" si="1"/>
        <v>LENGKAP</v>
      </c>
      <c r="G29" s="94" t="str">
        <f t="shared" si="2"/>
        <v>SMP</v>
      </c>
      <c r="H29" s="95">
        <f t="shared" si="3"/>
        <v>0</v>
      </c>
      <c r="I29" s="95">
        <f t="shared" si="4"/>
        <v>0</v>
      </c>
      <c r="J29" s="95">
        <f t="shared" si="5"/>
        <v>0</v>
      </c>
      <c r="K29" s="95">
        <f t="shared" si="6"/>
        <v>0</v>
      </c>
      <c r="L29" s="95">
        <f t="shared" si="7"/>
        <v>0</v>
      </c>
      <c r="M29" s="95">
        <f t="shared" si="7"/>
        <v>0</v>
      </c>
      <c r="N29" s="95">
        <f t="shared" si="8"/>
        <v>0</v>
      </c>
    </row>
    <row r="30" spans="1:14" x14ac:dyDescent="0.25">
      <c r="A30" s="16">
        <v>19</v>
      </c>
      <c r="B30" s="16" t="s">
        <v>357</v>
      </c>
      <c r="C30" s="15" t="s">
        <v>358</v>
      </c>
      <c r="D30" s="15">
        <v>19</v>
      </c>
      <c r="E30" s="94" t="str">
        <f t="shared" si="0"/>
        <v>PEREMPUAN</v>
      </c>
      <c r="F30" s="94" t="str">
        <f t="shared" si="1"/>
        <v>YATIM</v>
      </c>
      <c r="G30" s="94" t="str">
        <f t="shared" si="2"/>
        <v>TIDAK SEKOLAH</v>
      </c>
      <c r="H30" s="95">
        <f t="shared" si="3"/>
        <v>0</v>
      </c>
      <c r="I30" s="95">
        <f t="shared" si="4"/>
        <v>0</v>
      </c>
      <c r="J30" s="95">
        <f t="shared" si="5"/>
        <v>0</v>
      </c>
      <c r="K30" s="95">
        <f t="shared" si="6"/>
        <v>0</v>
      </c>
      <c r="L30" s="95">
        <f t="shared" si="7"/>
        <v>0</v>
      </c>
      <c r="M30" s="95">
        <f t="shared" si="7"/>
        <v>0</v>
      </c>
      <c r="N30" s="95">
        <f t="shared" si="8"/>
        <v>0</v>
      </c>
    </row>
    <row r="31" spans="1:14" x14ac:dyDescent="0.25">
      <c r="A31" s="16">
        <v>20</v>
      </c>
      <c r="B31" s="16" t="s">
        <v>359</v>
      </c>
      <c r="C31" s="15" t="s">
        <v>360</v>
      </c>
      <c r="D31" s="15">
        <v>17</v>
      </c>
      <c r="E31" s="94" t="str">
        <f t="shared" si="0"/>
        <v>PEREMPUAN</v>
      </c>
      <c r="F31" s="94" t="str">
        <f t="shared" si="1"/>
        <v>YATIM</v>
      </c>
      <c r="G31" s="94" t="str">
        <f t="shared" si="2"/>
        <v>SMA</v>
      </c>
      <c r="H31" s="95">
        <f t="shared" si="3"/>
        <v>0</v>
      </c>
      <c r="I31" s="95">
        <f t="shared" si="4"/>
        <v>0</v>
      </c>
      <c r="J31" s="95">
        <f t="shared" si="5"/>
        <v>2000000</v>
      </c>
      <c r="K31" s="95">
        <f t="shared" si="6"/>
        <v>50000</v>
      </c>
      <c r="L31" s="95">
        <f t="shared" si="7"/>
        <v>2000000</v>
      </c>
      <c r="M31" s="95">
        <f t="shared" si="7"/>
        <v>50000</v>
      </c>
      <c r="N31" s="95">
        <f t="shared" si="8"/>
        <v>1950000</v>
      </c>
    </row>
    <row r="32" spans="1:14" x14ac:dyDescent="0.25">
      <c r="A32" s="16">
        <v>21</v>
      </c>
      <c r="B32" s="16" t="s">
        <v>361</v>
      </c>
      <c r="C32" s="15" t="s">
        <v>362</v>
      </c>
      <c r="D32" s="15">
        <v>19</v>
      </c>
      <c r="E32" s="94" t="str">
        <f t="shared" si="0"/>
        <v>PEREMPUAN</v>
      </c>
      <c r="F32" s="94" t="str">
        <f t="shared" si="1"/>
        <v>LENGKAP</v>
      </c>
      <c r="G32" s="94" t="str">
        <f t="shared" si="2"/>
        <v>SMA</v>
      </c>
      <c r="H32" s="95">
        <f t="shared" si="3"/>
        <v>0</v>
      </c>
      <c r="I32" s="95">
        <f t="shared" si="4"/>
        <v>0</v>
      </c>
      <c r="J32" s="95">
        <f t="shared" si="5"/>
        <v>0</v>
      </c>
      <c r="K32" s="95">
        <f t="shared" si="6"/>
        <v>0</v>
      </c>
      <c r="L32" s="95">
        <f t="shared" si="7"/>
        <v>0</v>
      </c>
      <c r="M32" s="95">
        <f t="shared" si="7"/>
        <v>0</v>
      </c>
      <c r="N32" s="95">
        <f t="shared" si="8"/>
        <v>0</v>
      </c>
    </row>
    <row r="33" spans="1:14" x14ac:dyDescent="0.25">
      <c r="A33" s="16">
        <v>22</v>
      </c>
      <c r="B33" s="16" t="s">
        <v>363</v>
      </c>
      <c r="C33" s="15" t="s">
        <v>364</v>
      </c>
      <c r="D33" s="15">
        <v>1</v>
      </c>
      <c r="E33" s="94" t="str">
        <f t="shared" si="0"/>
        <v>LAKI-LAKI</v>
      </c>
      <c r="F33" s="94" t="str">
        <f t="shared" si="1"/>
        <v>LENGKAP</v>
      </c>
      <c r="G33" s="94" t="str">
        <f t="shared" si="2"/>
        <v>TIDAK SEKOLAH</v>
      </c>
      <c r="H33" s="95">
        <f t="shared" si="3"/>
        <v>0</v>
      </c>
      <c r="I33" s="95">
        <f t="shared" si="4"/>
        <v>0</v>
      </c>
      <c r="J33" s="95">
        <f t="shared" si="5"/>
        <v>0</v>
      </c>
      <c r="K33" s="95">
        <f t="shared" si="6"/>
        <v>0</v>
      </c>
      <c r="L33" s="95">
        <f t="shared" si="7"/>
        <v>0</v>
      </c>
      <c r="M33" s="95">
        <f t="shared" si="7"/>
        <v>0</v>
      </c>
      <c r="N33" s="95">
        <f t="shared" si="8"/>
        <v>0</v>
      </c>
    </row>
    <row r="34" spans="1:14" x14ac:dyDescent="0.25">
      <c r="A34" s="16">
        <v>23</v>
      </c>
      <c r="B34" s="16" t="s">
        <v>365</v>
      </c>
      <c r="C34" s="15" t="s">
        <v>366</v>
      </c>
      <c r="D34" s="15">
        <v>18</v>
      </c>
      <c r="E34" s="94" t="str">
        <f t="shared" si="0"/>
        <v>PEREMPUAN</v>
      </c>
      <c r="F34" s="94" t="str">
        <f t="shared" si="1"/>
        <v>YATIM</v>
      </c>
      <c r="G34" s="94" t="str">
        <f t="shared" si="2"/>
        <v>TIDAK SEKOLAH</v>
      </c>
      <c r="H34" s="95">
        <f t="shared" si="3"/>
        <v>0</v>
      </c>
      <c r="I34" s="95">
        <f t="shared" si="4"/>
        <v>0</v>
      </c>
      <c r="J34" s="95">
        <f t="shared" si="5"/>
        <v>0</v>
      </c>
      <c r="K34" s="95">
        <f t="shared" si="6"/>
        <v>0</v>
      </c>
      <c r="L34" s="95">
        <f t="shared" si="7"/>
        <v>0</v>
      </c>
      <c r="M34" s="95">
        <f t="shared" si="7"/>
        <v>0</v>
      </c>
      <c r="N34" s="95">
        <f t="shared" si="8"/>
        <v>0</v>
      </c>
    </row>
    <row r="35" spans="1:14" x14ac:dyDescent="0.25">
      <c r="A35" s="16">
        <v>24</v>
      </c>
      <c r="B35" s="16" t="s">
        <v>367</v>
      </c>
      <c r="C35" s="15" t="s">
        <v>368</v>
      </c>
      <c r="D35" s="15">
        <v>12</v>
      </c>
      <c r="E35" s="94" t="str">
        <f t="shared" si="0"/>
        <v>LAKI-LAKI</v>
      </c>
      <c r="F35" s="94" t="str">
        <f t="shared" si="1"/>
        <v>LENGKAP</v>
      </c>
      <c r="G35" s="94" t="str">
        <f t="shared" si="2"/>
        <v>SMP</v>
      </c>
      <c r="H35" s="95">
        <f t="shared" si="3"/>
        <v>0</v>
      </c>
      <c r="I35" s="95">
        <f t="shared" si="4"/>
        <v>0</v>
      </c>
      <c r="J35" s="95">
        <f t="shared" si="5"/>
        <v>0</v>
      </c>
      <c r="K35" s="95">
        <f t="shared" si="6"/>
        <v>0</v>
      </c>
      <c r="L35" s="95">
        <f t="shared" si="7"/>
        <v>0</v>
      </c>
      <c r="M35" s="95">
        <f t="shared" si="7"/>
        <v>0</v>
      </c>
      <c r="N35" s="95">
        <f t="shared" si="8"/>
        <v>0</v>
      </c>
    </row>
    <row r="36" spans="1:14" x14ac:dyDescent="0.25">
      <c r="A36" s="16">
        <v>25</v>
      </c>
      <c r="B36" s="16" t="s">
        <v>369</v>
      </c>
      <c r="C36" s="15" t="s">
        <v>370</v>
      </c>
      <c r="D36" s="15">
        <v>2</v>
      </c>
      <c r="E36" s="94" t="str">
        <f t="shared" si="0"/>
        <v>PEREMPUAN</v>
      </c>
      <c r="F36" s="94" t="str">
        <f t="shared" si="1"/>
        <v>YATIM PIATU</v>
      </c>
      <c r="G36" s="94" t="str">
        <f t="shared" si="2"/>
        <v>TIDAK SEKOLAH</v>
      </c>
      <c r="H36" s="95">
        <f t="shared" si="3"/>
        <v>2000000</v>
      </c>
      <c r="I36" s="95">
        <f t="shared" si="4"/>
        <v>40000</v>
      </c>
      <c r="J36" s="95">
        <f t="shared" si="5"/>
        <v>0</v>
      </c>
      <c r="K36" s="95">
        <f t="shared" si="6"/>
        <v>0</v>
      </c>
      <c r="L36" s="95">
        <f t="shared" si="7"/>
        <v>2000000</v>
      </c>
      <c r="M36" s="95">
        <f t="shared" si="7"/>
        <v>40000</v>
      </c>
      <c r="N36" s="95">
        <f t="shared" si="8"/>
        <v>1960000</v>
      </c>
    </row>
    <row r="37" spans="1:14" x14ac:dyDescent="0.25">
      <c r="A37" s="16">
        <v>26</v>
      </c>
      <c r="B37" s="16" t="s">
        <v>371</v>
      </c>
      <c r="C37" s="15" t="s">
        <v>372</v>
      </c>
      <c r="D37" s="15">
        <v>4</v>
      </c>
      <c r="E37" s="94" t="str">
        <f t="shared" si="0"/>
        <v>PEREMPUAN</v>
      </c>
      <c r="F37" s="94" t="str">
        <f t="shared" si="1"/>
        <v>YATIM PIATU</v>
      </c>
      <c r="G37" s="94" t="str">
        <f t="shared" si="2"/>
        <v>TIDAK SEKOLAH</v>
      </c>
      <c r="H37" s="95">
        <f t="shared" si="3"/>
        <v>2000000</v>
      </c>
      <c r="I37" s="95">
        <f t="shared" si="4"/>
        <v>40000</v>
      </c>
      <c r="J37" s="95">
        <f t="shared" si="5"/>
        <v>0</v>
      </c>
      <c r="K37" s="95">
        <f t="shared" si="6"/>
        <v>0</v>
      </c>
      <c r="L37" s="95">
        <f t="shared" si="7"/>
        <v>2000000</v>
      </c>
      <c r="M37" s="95">
        <f t="shared" si="7"/>
        <v>40000</v>
      </c>
      <c r="N37" s="95">
        <f t="shared" si="8"/>
        <v>1960000</v>
      </c>
    </row>
    <row r="38" spans="1:14" x14ac:dyDescent="0.25">
      <c r="A38" s="16">
        <v>27</v>
      </c>
      <c r="B38" s="16" t="s">
        <v>373</v>
      </c>
      <c r="C38" s="15" t="s">
        <v>374</v>
      </c>
      <c r="D38" s="15">
        <v>12</v>
      </c>
      <c r="E38" s="94" t="str">
        <f t="shared" si="0"/>
        <v>PEREMPUAN</v>
      </c>
      <c r="F38" s="94" t="str">
        <f t="shared" si="1"/>
        <v>PIATU</v>
      </c>
      <c r="G38" s="94" t="str">
        <f t="shared" si="2"/>
        <v>SMP</v>
      </c>
      <c r="H38" s="95">
        <f t="shared" si="3"/>
        <v>1500000</v>
      </c>
      <c r="I38" s="95">
        <f t="shared" si="4"/>
        <v>30000</v>
      </c>
      <c r="J38" s="95">
        <f t="shared" si="5"/>
        <v>1500000</v>
      </c>
      <c r="K38" s="95">
        <f t="shared" si="6"/>
        <v>37500</v>
      </c>
      <c r="L38" s="95">
        <f t="shared" si="7"/>
        <v>3000000</v>
      </c>
      <c r="M38" s="95">
        <f t="shared" si="7"/>
        <v>67500</v>
      </c>
      <c r="N38" s="95">
        <f t="shared" si="8"/>
        <v>2932500</v>
      </c>
    </row>
    <row r="39" spans="1:14" x14ac:dyDescent="0.25">
      <c r="A39" s="16">
        <v>28</v>
      </c>
      <c r="B39" s="16" t="s">
        <v>375</v>
      </c>
      <c r="C39" s="15" t="s">
        <v>376</v>
      </c>
      <c r="D39" s="15">
        <v>15</v>
      </c>
      <c r="E39" s="94" t="str">
        <f t="shared" si="0"/>
        <v>PEREMPUAN</v>
      </c>
      <c r="F39" s="94" t="str">
        <f t="shared" si="1"/>
        <v>PIATU</v>
      </c>
      <c r="G39" s="94" t="str">
        <f t="shared" si="2"/>
        <v>SMA</v>
      </c>
      <c r="H39" s="95">
        <f t="shared" si="3"/>
        <v>1500000</v>
      </c>
      <c r="I39" s="95">
        <f t="shared" si="4"/>
        <v>30000</v>
      </c>
      <c r="J39" s="95">
        <f t="shared" si="5"/>
        <v>2000000</v>
      </c>
      <c r="K39" s="95">
        <f t="shared" si="6"/>
        <v>50000</v>
      </c>
      <c r="L39" s="95">
        <f t="shared" si="7"/>
        <v>3500000</v>
      </c>
      <c r="M39" s="95">
        <f t="shared" si="7"/>
        <v>80000</v>
      </c>
      <c r="N39" s="95">
        <f t="shared" si="8"/>
        <v>3420000</v>
      </c>
    </row>
    <row r="40" spans="1:14" x14ac:dyDescent="0.25">
      <c r="A40" s="16">
        <v>29</v>
      </c>
      <c r="B40" s="16" t="s">
        <v>377</v>
      </c>
      <c r="C40" s="15" t="s">
        <v>378</v>
      </c>
      <c r="D40" s="15">
        <v>15</v>
      </c>
      <c r="E40" s="94" t="str">
        <f t="shared" si="0"/>
        <v>LAKI-LAKI</v>
      </c>
      <c r="F40" s="94" t="str">
        <f t="shared" si="1"/>
        <v>YATIM PIATU</v>
      </c>
      <c r="G40" s="94" t="str">
        <f t="shared" si="2"/>
        <v>SMA</v>
      </c>
      <c r="H40" s="95">
        <f t="shared" si="3"/>
        <v>2000000</v>
      </c>
      <c r="I40" s="95">
        <f t="shared" si="4"/>
        <v>40000</v>
      </c>
      <c r="J40" s="95">
        <f t="shared" si="5"/>
        <v>3000000</v>
      </c>
      <c r="K40" s="95">
        <f t="shared" si="6"/>
        <v>75000</v>
      </c>
      <c r="L40" s="95">
        <f t="shared" si="7"/>
        <v>5000000</v>
      </c>
      <c r="M40" s="95">
        <f t="shared" si="7"/>
        <v>115000</v>
      </c>
      <c r="N40" s="95">
        <f t="shared" si="8"/>
        <v>4885000</v>
      </c>
    </row>
    <row r="41" spans="1:14" x14ac:dyDescent="0.25">
      <c r="A41" s="16">
        <v>30</v>
      </c>
      <c r="B41" s="16" t="s">
        <v>379</v>
      </c>
      <c r="C41" s="15" t="s">
        <v>380</v>
      </c>
      <c r="D41" s="15">
        <v>20</v>
      </c>
      <c r="E41" s="94" t="str">
        <f t="shared" si="0"/>
        <v>LAKI-LAKI</v>
      </c>
      <c r="F41" s="94" t="str">
        <f t="shared" si="1"/>
        <v>LENGKAP</v>
      </c>
      <c r="G41" s="94" t="str">
        <f t="shared" si="2"/>
        <v>KULIAH</v>
      </c>
      <c r="H41" s="95">
        <f t="shared" si="3"/>
        <v>0</v>
      </c>
      <c r="I41" s="95">
        <f t="shared" si="4"/>
        <v>0</v>
      </c>
      <c r="J41" s="95">
        <f t="shared" si="5"/>
        <v>0</v>
      </c>
      <c r="K41" s="95">
        <f t="shared" si="6"/>
        <v>0</v>
      </c>
      <c r="L41" s="95">
        <f t="shared" si="7"/>
        <v>0</v>
      </c>
      <c r="M41" s="95">
        <f t="shared" si="7"/>
        <v>0</v>
      </c>
      <c r="N41" s="95">
        <f t="shared" si="8"/>
        <v>0</v>
      </c>
    </row>
    <row r="43" spans="1:14" x14ac:dyDescent="0.25">
      <c r="B43" s="13" t="s">
        <v>381</v>
      </c>
    </row>
    <row r="44" spans="1:14" x14ac:dyDescent="0.25">
      <c r="A44" s="13">
        <v>1</v>
      </c>
      <c r="B44" s="13" t="s">
        <v>382</v>
      </c>
    </row>
    <row r="45" spans="1:14" x14ac:dyDescent="0.25">
      <c r="B45" t="s">
        <v>383</v>
      </c>
    </row>
    <row r="46" spans="1:14" x14ac:dyDescent="0.25">
      <c r="B46" s="93" t="s">
        <v>384</v>
      </c>
    </row>
    <row r="47" spans="1:14" x14ac:dyDescent="0.25">
      <c r="B47" s="93" t="s">
        <v>385</v>
      </c>
    </row>
    <row r="49" spans="1:2" x14ac:dyDescent="0.25">
      <c r="A49" s="13">
        <v>2</v>
      </c>
      <c r="B49" s="13" t="s">
        <v>386</v>
      </c>
    </row>
    <row r="50" spans="1:2" x14ac:dyDescent="0.25">
      <c r="B50" t="s">
        <v>387</v>
      </c>
    </row>
    <row r="51" spans="1:2" x14ac:dyDescent="0.25">
      <c r="B51" s="93" t="s">
        <v>388</v>
      </c>
    </row>
    <row r="52" spans="1:2" x14ac:dyDescent="0.25">
      <c r="B52" s="93" t="s">
        <v>389</v>
      </c>
    </row>
    <row r="53" spans="1:2" x14ac:dyDescent="0.25">
      <c r="B53" s="93" t="s">
        <v>390</v>
      </c>
    </row>
    <row r="54" spans="1:2" x14ac:dyDescent="0.25">
      <c r="B54" s="93" t="s">
        <v>391</v>
      </c>
    </row>
    <row r="56" spans="1:2" x14ac:dyDescent="0.25">
      <c r="A56" s="13">
        <v>3</v>
      </c>
      <c r="B56" s="13" t="s">
        <v>392</v>
      </c>
    </row>
    <row r="57" spans="1:2" x14ac:dyDescent="0.25">
      <c r="B57" t="s">
        <v>393</v>
      </c>
    </row>
    <row r="58" spans="1:2" x14ac:dyDescent="0.25">
      <c r="B58" s="93" t="s">
        <v>394</v>
      </c>
    </row>
    <row r="59" spans="1:2" x14ac:dyDescent="0.25">
      <c r="B59" s="93" t="s">
        <v>395</v>
      </c>
    </row>
    <row r="60" spans="1:2" x14ac:dyDescent="0.25">
      <c r="B60" s="93" t="s">
        <v>396</v>
      </c>
    </row>
    <row r="61" spans="1:2" x14ac:dyDescent="0.25">
      <c r="B61" s="93" t="s">
        <v>397</v>
      </c>
    </row>
    <row r="62" spans="1:2" x14ac:dyDescent="0.25">
      <c r="B62" s="93" t="s">
        <v>398</v>
      </c>
    </row>
    <row r="63" spans="1:2" x14ac:dyDescent="0.25">
      <c r="B63" s="93" t="s">
        <v>399</v>
      </c>
    </row>
    <row r="65" spans="1:2" x14ac:dyDescent="0.25">
      <c r="A65" s="13">
        <v>4</v>
      </c>
      <c r="B65" s="13" t="s">
        <v>400</v>
      </c>
    </row>
    <row r="66" spans="1:2" x14ac:dyDescent="0.25">
      <c r="B66" t="s">
        <v>401</v>
      </c>
    </row>
    <row r="67" spans="1:2" x14ac:dyDescent="0.25">
      <c r="B67" s="93" t="s">
        <v>402</v>
      </c>
    </row>
    <row r="68" spans="1:2" x14ac:dyDescent="0.25">
      <c r="B68" s="93" t="s">
        <v>403</v>
      </c>
    </row>
    <row r="69" spans="1:2" x14ac:dyDescent="0.25">
      <c r="B69" s="93" t="s">
        <v>404</v>
      </c>
    </row>
    <row r="71" spans="1:2" x14ac:dyDescent="0.25">
      <c r="A71" s="13">
        <v>5</v>
      </c>
      <c r="B71" s="13" t="s">
        <v>405</v>
      </c>
    </row>
    <row r="72" spans="1:2" x14ac:dyDescent="0.25">
      <c r="B72" t="s">
        <v>406</v>
      </c>
    </row>
    <row r="73" spans="1:2" x14ac:dyDescent="0.25">
      <c r="B73" s="93" t="s">
        <v>407</v>
      </c>
    </row>
    <row r="75" spans="1:2" x14ac:dyDescent="0.25">
      <c r="A75" s="13">
        <v>6</v>
      </c>
      <c r="B75" s="13" t="s">
        <v>408</v>
      </c>
    </row>
    <row r="76" spans="1:2" x14ac:dyDescent="0.25">
      <c r="B76" t="s">
        <v>409</v>
      </c>
    </row>
    <row r="77" spans="1:2" x14ac:dyDescent="0.25">
      <c r="B77" s="93" t="s">
        <v>410</v>
      </c>
    </row>
    <row r="78" spans="1:2" x14ac:dyDescent="0.25">
      <c r="B78" s="93" t="s">
        <v>411</v>
      </c>
    </row>
    <row r="79" spans="1:2" x14ac:dyDescent="0.25">
      <c r="B79" s="93" t="s">
        <v>412</v>
      </c>
    </row>
    <row r="80" spans="1:2" x14ac:dyDescent="0.25">
      <c r="B80" s="93" t="s">
        <v>413</v>
      </c>
    </row>
    <row r="82" spans="1:2" x14ac:dyDescent="0.25">
      <c r="A82" s="13">
        <v>7</v>
      </c>
      <c r="B82" s="13" t="s">
        <v>414</v>
      </c>
    </row>
    <row r="83" spans="1:2" x14ac:dyDescent="0.25">
      <c r="B83" t="s">
        <v>415</v>
      </c>
    </row>
    <row r="84" spans="1:2" x14ac:dyDescent="0.25">
      <c r="B84" t="s">
        <v>416</v>
      </c>
    </row>
    <row r="86" spans="1:2" x14ac:dyDescent="0.25">
      <c r="A86" s="13">
        <v>8</v>
      </c>
      <c r="B86" s="13" t="s">
        <v>417</v>
      </c>
    </row>
    <row r="87" spans="1:2" x14ac:dyDescent="0.25">
      <c r="B87" t="s">
        <v>418</v>
      </c>
    </row>
    <row r="89" spans="1:2" x14ac:dyDescent="0.25">
      <c r="A89" s="13">
        <v>9</v>
      </c>
      <c r="B89" s="13" t="s">
        <v>419</v>
      </c>
    </row>
    <row r="90" spans="1:2" x14ac:dyDescent="0.25">
      <c r="B90" t="s">
        <v>420</v>
      </c>
    </row>
    <row r="92" spans="1:2" x14ac:dyDescent="0.25">
      <c r="A92" s="13">
        <v>10</v>
      </c>
      <c r="B92" s="13" t="s">
        <v>421</v>
      </c>
    </row>
    <row r="93" spans="1:2" x14ac:dyDescent="0.25">
      <c r="B93" t="s">
        <v>422</v>
      </c>
    </row>
  </sheetData>
  <mergeCells count="5">
    <mergeCell ref="C2:G2"/>
    <mergeCell ref="C3:G3"/>
    <mergeCell ref="C4:G4"/>
    <mergeCell ref="A9:N9"/>
    <mergeCell ref="A10:N10"/>
  </mergeCells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3EC7-8252-43E5-B17E-510D92B7E764}">
  <dimension ref="A1:N31"/>
  <sheetViews>
    <sheetView topLeftCell="A12" workbookViewId="0">
      <selection activeCell="A17" sqref="A17"/>
    </sheetView>
  </sheetViews>
  <sheetFormatPr defaultRowHeight="15" x14ac:dyDescent="0.25"/>
  <cols>
    <col min="3" max="3" width="18.140625" customWidth="1"/>
    <col min="4" max="4" width="14.7109375" customWidth="1"/>
    <col min="5" max="5" width="15" customWidth="1"/>
    <col min="7" max="7" width="14.140625" customWidth="1"/>
    <col min="8" max="8" width="12.140625" customWidth="1"/>
    <col min="11" max="11" width="15.42578125" customWidth="1"/>
    <col min="14" max="14" width="15.7109375" customWidth="1"/>
  </cols>
  <sheetData>
    <row r="1" spans="1:14" x14ac:dyDescent="0.25">
      <c r="A1" t="s">
        <v>423</v>
      </c>
    </row>
    <row r="2" spans="1:14" x14ac:dyDescent="0.25">
      <c r="A2" t="s">
        <v>424</v>
      </c>
    </row>
    <row r="3" spans="1:14" x14ac:dyDescent="0.25">
      <c r="A3" t="s">
        <v>425</v>
      </c>
    </row>
    <row r="4" spans="1:14" x14ac:dyDescent="0.25">
      <c r="A4" t="s">
        <v>426</v>
      </c>
    </row>
    <row r="5" spans="1:14" x14ac:dyDescent="0.25">
      <c r="A5" t="s">
        <v>427</v>
      </c>
    </row>
    <row r="7" spans="1:14" x14ac:dyDescent="0.25">
      <c r="A7" t="s">
        <v>428</v>
      </c>
      <c r="F7" t="s">
        <v>429</v>
      </c>
    </row>
    <row r="8" spans="1:14" x14ac:dyDescent="0.25">
      <c r="A8" s="97" t="s">
        <v>36</v>
      </c>
      <c r="B8" s="97" t="s">
        <v>315</v>
      </c>
      <c r="C8" s="97" t="s">
        <v>3</v>
      </c>
      <c r="D8" s="98"/>
      <c r="E8" s="98"/>
      <c r="F8" s="97" t="s">
        <v>36</v>
      </c>
      <c r="G8" s="97" t="s">
        <v>313</v>
      </c>
      <c r="H8" s="97" t="s">
        <v>4</v>
      </c>
      <c r="I8" s="98"/>
      <c r="J8" s="98"/>
      <c r="K8" s="98"/>
      <c r="L8" s="98"/>
      <c r="M8" s="98"/>
      <c r="N8" s="98"/>
    </row>
    <row r="9" spans="1:14" x14ac:dyDescent="0.25">
      <c r="A9" s="15">
        <v>1</v>
      </c>
      <c r="B9" s="16" t="s">
        <v>430</v>
      </c>
      <c r="C9" s="99">
        <v>1000000</v>
      </c>
      <c r="F9" s="16">
        <v>1</v>
      </c>
      <c r="G9" s="16" t="s">
        <v>431</v>
      </c>
      <c r="H9" s="99">
        <v>100000</v>
      </c>
    </row>
    <row r="10" spans="1:14" x14ac:dyDescent="0.25">
      <c r="A10" s="15">
        <v>2</v>
      </c>
      <c r="B10" s="16" t="s">
        <v>432</v>
      </c>
      <c r="C10" s="99">
        <v>2000000</v>
      </c>
      <c r="F10" s="16">
        <v>2</v>
      </c>
      <c r="G10" s="16" t="s">
        <v>433</v>
      </c>
      <c r="H10" s="99">
        <v>75000</v>
      </c>
    </row>
    <row r="11" spans="1:14" x14ac:dyDescent="0.25">
      <c r="A11" s="15">
        <v>3</v>
      </c>
      <c r="B11" s="16" t="s">
        <v>434</v>
      </c>
      <c r="C11" s="99">
        <v>3000000</v>
      </c>
    </row>
    <row r="12" spans="1:14" x14ac:dyDescent="0.25">
      <c r="A12" s="15">
        <v>4</v>
      </c>
      <c r="B12" s="16" t="s">
        <v>458</v>
      </c>
      <c r="C12" s="99">
        <v>4000000</v>
      </c>
    </row>
    <row r="13" spans="1:14" x14ac:dyDescent="0.25">
      <c r="A13" s="15">
        <v>5</v>
      </c>
      <c r="B13" s="16" t="s">
        <v>435</v>
      </c>
      <c r="C13" s="99">
        <v>5000000</v>
      </c>
    </row>
    <row r="15" spans="1:14" x14ac:dyDescent="0.25">
      <c r="A15" t="s">
        <v>471</v>
      </c>
    </row>
    <row r="16" spans="1:14" x14ac:dyDescent="0.25">
      <c r="A16" t="s">
        <v>472</v>
      </c>
    </row>
    <row r="18" spans="1:14" x14ac:dyDescent="0.25">
      <c r="A18" s="189" t="s">
        <v>36</v>
      </c>
      <c r="B18" s="189" t="s">
        <v>77</v>
      </c>
      <c r="C18" s="189" t="s">
        <v>436</v>
      </c>
      <c r="D18" s="189" t="s">
        <v>315</v>
      </c>
      <c r="E18" s="189" t="s">
        <v>80</v>
      </c>
      <c r="F18" s="189" t="s">
        <v>437</v>
      </c>
      <c r="G18" s="189" t="s">
        <v>438</v>
      </c>
      <c r="H18" s="189" t="s">
        <v>313</v>
      </c>
      <c r="I18" s="189" t="s">
        <v>439</v>
      </c>
      <c r="J18" s="189" t="s">
        <v>3</v>
      </c>
      <c r="K18" s="189" t="s">
        <v>4</v>
      </c>
      <c r="L18" s="189"/>
      <c r="M18" s="189"/>
      <c r="N18" s="189" t="s">
        <v>440</v>
      </c>
    </row>
    <row r="19" spans="1:14" ht="30" x14ac:dyDescent="0.2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00" t="s">
        <v>441</v>
      </c>
      <c r="L19" s="100" t="s">
        <v>437</v>
      </c>
      <c r="M19" s="100" t="s">
        <v>442</v>
      </c>
      <c r="N19" s="189"/>
    </row>
    <row r="20" spans="1:14" x14ac:dyDescent="0.25">
      <c r="A20" s="15">
        <v>1</v>
      </c>
      <c r="B20" s="16" t="s">
        <v>443</v>
      </c>
      <c r="C20" s="101" t="s">
        <v>444</v>
      </c>
      <c r="D20" s="16" t="s">
        <v>430</v>
      </c>
      <c r="E20" s="16" t="s">
        <v>445</v>
      </c>
      <c r="F20" s="15">
        <v>2</v>
      </c>
      <c r="G20" s="16"/>
      <c r="H20" s="16"/>
      <c r="I20" s="16"/>
      <c r="J20" s="16"/>
      <c r="K20" s="16"/>
      <c r="L20" s="16"/>
      <c r="M20" s="16"/>
      <c r="N20" s="16"/>
    </row>
    <row r="21" spans="1:14" x14ac:dyDescent="0.25">
      <c r="A21" s="15">
        <v>2</v>
      </c>
      <c r="B21" s="16" t="s">
        <v>446</v>
      </c>
      <c r="C21" s="101" t="s">
        <v>447</v>
      </c>
      <c r="D21" s="16" t="s">
        <v>432</v>
      </c>
      <c r="E21" s="16" t="s">
        <v>445</v>
      </c>
      <c r="F21" s="15">
        <v>3</v>
      </c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A22" s="15">
        <v>3</v>
      </c>
      <c r="B22" s="16" t="s">
        <v>448</v>
      </c>
      <c r="C22" s="101" t="s">
        <v>449</v>
      </c>
      <c r="D22" s="16" t="s">
        <v>435</v>
      </c>
      <c r="E22" s="16" t="s">
        <v>450</v>
      </c>
      <c r="F22" s="15">
        <v>0</v>
      </c>
      <c r="G22" s="16"/>
      <c r="H22" s="16"/>
      <c r="I22" s="16"/>
      <c r="J22" s="16"/>
      <c r="K22" s="16"/>
      <c r="L22" s="16"/>
      <c r="M22" s="16"/>
      <c r="N22" s="16"/>
    </row>
    <row r="23" spans="1:14" x14ac:dyDescent="0.25">
      <c r="A23" s="15">
        <v>4</v>
      </c>
      <c r="B23" s="16" t="s">
        <v>451</v>
      </c>
      <c r="C23" s="101" t="s">
        <v>452</v>
      </c>
      <c r="D23" s="16" t="s">
        <v>435</v>
      </c>
      <c r="E23" s="16" t="s">
        <v>450</v>
      </c>
      <c r="F23" s="15">
        <v>0</v>
      </c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15">
        <v>5</v>
      </c>
      <c r="B24" s="16" t="s">
        <v>453</v>
      </c>
      <c r="C24" s="101" t="s">
        <v>454</v>
      </c>
      <c r="D24" s="16" t="s">
        <v>434</v>
      </c>
      <c r="E24" s="16" t="s">
        <v>455</v>
      </c>
      <c r="F24" s="15">
        <v>2</v>
      </c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15">
        <v>6</v>
      </c>
      <c r="B25" s="16" t="s">
        <v>456</v>
      </c>
      <c r="C25" s="101" t="s">
        <v>457</v>
      </c>
      <c r="D25" s="16" t="s">
        <v>458</v>
      </c>
      <c r="E25" s="16" t="s">
        <v>445</v>
      </c>
      <c r="F25" s="15">
        <v>2</v>
      </c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15">
        <v>7</v>
      </c>
      <c r="B26" s="16" t="s">
        <v>459</v>
      </c>
      <c r="C26" s="101" t="s">
        <v>460</v>
      </c>
      <c r="D26" s="16" t="s">
        <v>430</v>
      </c>
      <c r="E26" s="16" t="s">
        <v>445</v>
      </c>
      <c r="F26" s="15">
        <v>2</v>
      </c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15">
        <v>8</v>
      </c>
      <c r="B27" s="16" t="s">
        <v>461</v>
      </c>
      <c r="C27" s="101" t="s">
        <v>462</v>
      </c>
      <c r="D27" s="16" t="s">
        <v>432</v>
      </c>
      <c r="E27" s="16" t="s">
        <v>445</v>
      </c>
      <c r="F27" s="15">
        <v>2</v>
      </c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5">
        <v>9</v>
      </c>
      <c r="B28" s="16" t="s">
        <v>463</v>
      </c>
      <c r="C28" s="101" t="s">
        <v>464</v>
      </c>
      <c r="D28" s="16" t="s">
        <v>434</v>
      </c>
      <c r="E28" s="16" t="s">
        <v>450</v>
      </c>
      <c r="F28" s="15">
        <v>0</v>
      </c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15">
        <v>10</v>
      </c>
      <c r="B29" s="16" t="s">
        <v>465</v>
      </c>
      <c r="C29" s="101" t="s">
        <v>466</v>
      </c>
      <c r="D29" s="16" t="s">
        <v>434</v>
      </c>
      <c r="E29" s="16" t="s">
        <v>450</v>
      </c>
      <c r="F29" s="15">
        <v>0</v>
      </c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5">
        <v>11</v>
      </c>
      <c r="B30" s="16" t="s">
        <v>467</v>
      </c>
      <c r="C30" s="101" t="s">
        <v>468</v>
      </c>
      <c r="D30" s="16" t="s">
        <v>435</v>
      </c>
      <c r="E30" s="16" t="s">
        <v>445</v>
      </c>
      <c r="F30" s="15">
        <v>2</v>
      </c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15">
        <v>12</v>
      </c>
      <c r="B31" s="16" t="s">
        <v>469</v>
      </c>
      <c r="C31" s="101" t="s">
        <v>470</v>
      </c>
      <c r="D31" s="16" t="s">
        <v>432</v>
      </c>
      <c r="E31" s="16" t="s">
        <v>450</v>
      </c>
      <c r="F31" s="15">
        <v>0</v>
      </c>
      <c r="G31" s="16"/>
      <c r="H31" s="16"/>
      <c r="I31" s="16"/>
      <c r="J31" s="16"/>
      <c r="K31" s="16"/>
      <c r="L31" s="16"/>
      <c r="M31" s="16"/>
      <c r="N31" s="16"/>
    </row>
  </sheetData>
  <mergeCells count="12">
    <mergeCell ref="N18:N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M1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F658-C87F-4DD5-82D7-830048CDBF9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95CB2-F8D3-4E75-84AC-1B0B7B7334B2}">
  <dimension ref="A1:P34"/>
  <sheetViews>
    <sheetView topLeftCell="C15" workbookViewId="0">
      <selection activeCell="J34" sqref="J34"/>
    </sheetView>
  </sheetViews>
  <sheetFormatPr defaultRowHeight="15" x14ac:dyDescent="0.25"/>
  <cols>
    <col min="2" max="2" width="16.140625" customWidth="1"/>
    <col min="3" max="3" width="18.140625" customWidth="1"/>
    <col min="5" max="5" width="13.5703125" customWidth="1"/>
    <col min="7" max="7" width="14.140625" customWidth="1"/>
    <col min="8" max="8" width="12.85546875" customWidth="1"/>
    <col min="9" max="9" width="12.28515625" customWidth="1"/>
    <col min="10" max="10" width="17.85546875" customWidth="1"/>
    <col min="11" max="11" width="13.140625" customWidth="1"/>
    <col min="12" max="12" width="11.140625" bestFit="1" customWidth="1"/>
    <col min="13" max="13" width="13.85546875" customWidth="1"/>
    <col min="14" max="14" width="16.140625" customWidth="1"/>
    <col min="16" max="16" width="19.28515625" bestFit="1" customWidth="1"/>
  </cols>
  <sheetData>
    <row r="1" spans="1:14" x14ac:dyDescent="0.25">
      <c r="A1" s="109" t="s">
        <v>473</v>
      </c>
      <c r="B1" s="109"/>
      <c r="C1" s="109"/>
      <c r="D1" s="109"/>
      <c r="E1" s="109"/>
    </row>
    <row r="3" spans="1:14" x14ac:dyDescent="0.25">
      <c r="A3" t="s">
        <v>423</v>
      </c>
      <c r="G3" s="106">
        <f>J34</f>
        <v>36000000</v>
      </c>
    </row>
    <row r="4" spans="1:14" x14ac:dyDescent="0.25">
      <c r="A4" t="s">
        <v>424</v>
      </c>
      <c r="G4" s="106">
        <f>K34+L34+M34</f>
        <v>2775000</v>
      </c>
    </row>
    <row r="5" spans="1:14" x14ac:dyDescent="0.25">
      <c r="A5" t="s">
        <v>425</v>
      </c>
      <c r="G5" s="107">
        <f ca="1">_xlfn.MAXIFS(I22:I33,H22:H33,"PRIA")-INT((TODAY()-DATE(2021,1,1))/365)</f>
        <v>56</v>
      </c>
      <c r="J5" s="102"/>
      <c r="K5" s="102"/>
    </row>
    <row r="6" spans="1:14" x14ac:dyDescent="0.25">
      <c r="A6" t="s">
        <v>426</v>
      </c>
      <c r="G6" s="106">
        <f>AVERAGE(N22:N33)</f>
        <v>3231250</v>
      </c>
    </row>
    <row r="7" spans="1:14" x14ac:dyDescent="0.25">
      <c r="A7" t="s">
        <v>427</v>
      </c>
      <c r="G7" s="108">
        <f>_xlfn.MAXIFS(N22:N33,E22:E33,"KAWIN")</f>
        <v>5600000</v>
      </c>
    </row>
    <row r="9" spans="1:14" x14ac:dyDescent="0.25">
      <c r="A9" t="s">
        <v>428</v>
      </c>
      <c r="F9" t="s">
        <v>429</v>
      </c>
    </row>
    <row r="10" spans="1:14" x14ac:dyDescent="0.25">
      <c r="A10" s="97" t="s">
        <v>36</v>
      </c>
      <c r="B10" s="97" t="s">
        <v>315</v>
      </c>
      <c r="C10" s="97" t="s">
        <v>3</v>
      </c>
      <c r="D10" s="98"/>
      <c r="E10" s="98"/>
      <c r="F10" s="97" t="s">
        <v>36</v>
      </c>
      <c r="G10" s="97" t="s">
        <v>313</v>
      </c>
      <c r="H10" s="97" t="s">
        <v>4</v>
      </c>
      <c r="I10" s="98"/>
      <c r="J10" s="98"/>
      <c r="K10" s="98"/>
      <c r="L10" s="98"/>
      <c r="M10" s="98"/>
      <c r="N10" s="98"/>
    </row>
    <row r="11" spans="1:14" x14ac:dyDescent="0.25">
      <c r="A11" s="15">
        <v>1</v>
      </c>
      <c r="B11" s="16" t="s">
        <v>430</v>
      </c>
      <c r="C11" s="99">
        <v>1000000</v>
      </c>
      <c r="F11" s="16">
        <v>1</v>
      </c>
      <c r="G11" s="16" t="s">
        <v>431</v>
      </c>
      <c r="H11" s="99">
        <v>100000</v>
      </c>
    </row>
    <row r="12" spans="1:14" x14ac:dyDescent="0.25">
      <c r="A12" s="15">
        <v>2</v>
      </c>
      <c r="B12" s="16" t="s">
        <v>432</v>
      </c>
      <c r="C12" s="99">
        <v>2000000</v>
      </c>
      <c r="F12" s="16">
        <v>2</v>
      </c>
      <c r="G12" s="16" t="s">
        <v>433</v>
      </c>
      <c r="H12" s="99">
        <v>75000</v>
      </c>
    </row>
    <row r="13" spans="1:14" x14ac:dyDescent="0.25">
      <c r="A13" s="15">
        <v>3</v>
      </c>
      <c r="B13" s="16" t="s">
        <v>434</v>
      </c>
      <c r="C13" s="99">
        <v>3000000</v>
      </c>
    </row>
    <row r="14" spans="1:14" x14ac:dyDescent="0.25">
      <c r="A14" s="15">
        <v>4</v>
      </c>
      <c r="B14" s="16" t="s">
        <v>458</v>
      </c>
      <c r="C14" s="99">
        <v>4000000</v>
      </c>
    </row>
    <row r="15" spans="1:14" x14ac:dyDescent="0.25">
      <c r="A15" s="15">
        <v>5</v>
      </c>
      <c r="B15" s="16" t="s">
        <v>435</v>
      </c>
      <c r="C15" s="99">
        <v>5000000</v>
      </c>
    </row>
    <row r="17" spans="1:16" x14ac:dyDescent="0.25">
      <c r="A17" t="s">
        <v>471</v>
      </c>
    </row>
    <row r="18" spans="1:16" x14ac:dyDescent="0.25">
      <c r="A18" t="s">
        <v>472</v>
      </c>
    </row>
    <row r="20" spans="1:16" x14ac:dyDescent="0.25">
      <c r="A20" s="131" t="s">
        <v>36</v>
      </c>
      <c r="B20" s="131" t="s">
        <v>77</v>
      </c>
      <c r="C20" s="131" t="s">
        <v>436</v>
      </c>
      <c r="D20" s="131" t="s">
        <v>315</v>
      </c>
      <c r="E20" s="131" t="s">
        <v>80</v>
      </c>
      <c r="F20" s="131" t="s">
        <v>437</v>
      </c>
      <c r="G20" s="131" t="s">
        <v>438</v>
      </c>
      <c r="H20" s="131" t="s">
        <v>313</v>
      </c>
      <c r="I20" s="131" t="s">
        <v>439</v>
      </c>
      <c r="J20" s="131" t="s">
        <v>3</v>
      </c>
      <c r="K20" s="131" t="s">
        <v>4</v>
      </c>
      <c r="L20" s="131"/>
      <c r="M20" s="131"/>
      <c r="N20" s="131" t="s">
        <v>440</v>
      </c>
    </row>
    <row r="21" spans="1:16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2" t="s">
        <v>441</v>
      </c>
      <c r="L21" s="2" t="s">
        <v>437</v>
      </c>
      <c r="M21" s="2" t="s">
        <v>442</v>
      </c>
      <c r="N21" s="131"/>
    </row>
    <row r="22" spans="1:16" x14ac:dyDescent="0.25">
      <c r="A22" s="15">
        <v>1</v>
      </c>
      <c r="B22" s="16" t="s">
        <v>443</v>
      </c>
      <c r="C22" s="101" t="s">
        <v>444</v>
      </c>
      <c r="D22" s="16" t="s">
        <v>430</v>
      </c>
      <c r="E22" s="16" t="s">
        <v>445</v>
      </c>
      <c r="F22" s="15">
        <v>2</v>
      </c>
      <c r="G22" s="103">
        <f t="shared" ref="G22:G33" si="0">DATE(MID(C22,11,2),MID(C22,9,2),IF(VALUE(MID(C22,7,2))&lt;40,MID(C22,7,2),VALUE((MID(C22,7,2))-40)))</f>
        <v>29744</v>
      </c>
      <c r="H22" s="96" t="str">
        <f>IF(VALUE(MID(C22,7,2))&lt;40,"PRIA","WANITA")</f>
        <v>PRIA</v>
      </c>
      <c r="I22" s="96">
        <f ca="1">INT((TODAY()-G22)/365)</f>
        <v>42</v>
      </c>
      <c r="J22" s="104">
        <f>VLOOKUP(D22,$B$11:$C$15,2,FALSE)</f>
        <v>1000000</v>
      </c>
      <c r="K22" s="104">
        <f>IF(E22="KAWIN",J22*5/100,"")</f>
        <v>50000</v>
      </c>
      <c r="L22" s="104">
        <f>(2.5*J22/100)*F22</f>
        <v>50000</v>
      </c>
      <c r="M22" s="104">
        <f>VLOOKUP(H22,$G$11:$H$12,2,FALSE)</f>
        <v>100000</v>
      </c>
      <c r="N22" s="104">
        <f>SUM(J22:M22)</f>
        <v>1200000</v>
      </c>
      <c r="P22" s="102"/>
    </row>
    <row r="23" spans="1:16" x14ac:dyDescent="0.25">
      <c r="A23" s="15">
        <v>2</v>
      </c>
      <c r="B23" s="16" t="s">
        <v>446</v>
      </c>
      <c r="C23" s="101" t="s">
        <v>447</v>
      </c>
      <c r="D23" s="16" t="s">
        <v>432</v>
      </c>
      <c r="E23" s="16" t="s">
        <v>445</v>
      </c>
      <c r="F23" s="15">
        <v>3</v>
      </c>
      <c r="G23" s="103">
        <f t="shared" si="0"/>
        <v>35064</v>
      </c>
      <c r="H23" s="96" t="str">
        <f t="shared" ref="H23:H33" si="1">IF(VALUE(MID(C23,7,2))&lt;40,"PRIA","WANITA")</f>
        <v>WANITA</v>
      </c>
      <c r="I23" s="96">
        <f t="shared" ref="I23:I33" ca="1" si="2">INT((TODAY()-G23)/365)</f>
        <v>27</v>
      </c>
      <c r="J23" s="104">
        <f t="shared" ref="J23:J33" si="3">VLOOKUP(D23,$B$11:$C$15,2,FALSE)</f>
        <v>2000000</v>
      </c>
      <c r="K23" s="104">
        <f t="shared" ref="K23:K33" si="4">IF(E23="KAWIN",J23*5/100,"")</f>
        <v>100000</v>
      </c>
      <c r="L23" s="104">
        <f t="shared" ref="L23:L33" si="5">(2.5*J23/100)*F23</f>
        <v>150000</v>
      </c>
      <c r="M23" s="104">
        <f t="shared" ref="M23:M33" si="6">VLOOKUP(H23,$G$11:$H$12,2,FALSE)</f>
        <v>75000</v>
      </c>
      <c r="N23" s="104">
        <f t="shared" ref="N23:N33" si="7">SUM(J23:M23)</f>
        <v>2325000</v>
      </c>
    </row>
    <row r="24" spans="1:16" x14ac:dyDescent="0.25">
      <c r="A24" s="15">
        <v>3</v>
      </c>
      <c r="B24" s="16" t="s">
        <v>448</v>
      </c>
      <c r="C24" s="101" t="s">
        <v>449</v>
      </c>
      <c r="D24" s="16" t="s">
        <v>435</v>
      </c>
      <c r="E24" s="16" t="s">
        <v>450</v>
      </c>
      <c r="F24" s="15">
        <v>0</v>
      </c>
      <c r="G24" s="103">
        <f t="shared" si="0"/>
        <v>27112</v>
      </c>
      <c r="H24" s="96" t="str">
        <f t="shared" si="1"/>
        <v>PRIA</v>
      </c>
      <c r="I24" s="96">
        <f t="shared" ca="1" si="2"/>
        <v>49</v>
      </c>
      <c r="J24" s="104">
        <f t="shared" si="3"/>
        <v>5000000</v>
      </c>
      <c r="K24" s="104" t="str">
        <f>IF(E24="KAWIN",J24*5/100,"")</f>
        <v/>
      </c>
      <c r="L24" s="104">
        <f t="shared" si="5"/>
        <v>0</v>
      </c>
      <c r="M24" s="104">
        <f t="shared" si="6"/>
        <v>100000</v>
      </c>
      <c r="N24" s="104">
        <f t="shared" si="7"/>
        <v>5100000</v>
      </c>
    </row>
    <row r="25" spans="1:16" x14ac:dyDescent="0.25">
      <c r="A25" s="15">
        <v>4</v>
      </c>
      <c r="B25" s="16" t="s">
        <v>451</v>
      </c>
      <c r="C25" s="101" t="s">
        <v>452</v>
      </c>
      <c r="D25" s="16" t="s">
        <v>435</v>
      </c>
      <c r="E25" s="16" t="s">
        <v>450</v>
      </c>
      <c r="F25" s="15">
        <v>0</v>
      </c>
      <c r="G25" s="103">
        <f t="shared" si="0"/>
        <v>32723</v>
      </c>
      <c r="H25" s="96" t="str">
        <f t="shared" si="1"/>
        <v>PRIA</v>
      </c>
      <c r="I25" s="96">
        <f t="shared" ca="1" si="2"/>
        <v>34</v>
      </c>
      <c r="J25" s="104">
        <f t="shared" si="3"/>
        <v>5000000</v>
      </c>
      <c r="K25" s="104" t="str">
        <f t="shared" si="4"/>
        <v/>
      </c>
      <c r="L25" s="104">
        <f t="shared" si="5"/>
        <v>0</v>
      </c>
      <c r="M25" s="104">
        <f t="shared" si="6"/>
        <v>100000</v>
      </c>
      <c r="N25" s="104">
        <f t="shared" si="7"/>
        <v>5100000</v>
      </c>
    </row>
    <row r="26" spans="1:16" x14ac:dyDescent="0.25">
      <c r="A26" s="15">
        <v>5</v>
      </c>
      <c r="B26" s="16" t="s">
        <v>453</v>
      </c>
      <c r="C26" s="101" t="s">
        <v>454</v>
      </c>
      <c r="D26" s="16" t="s">
        <v>434</v>
      </c>
      <c r="E26" s="16" t="s">
        <v>455</v>
      </c>
      <c r="F26" s="15">
        <v>2</v>
      </c>
      <c r="G26" s="103">
        <f t="shared" si="0"/>
        <v>27434</v>
      </c>
      <c r="H26" s="96" t="str">
        <f t="shared" si="1"/>
        <v>WANITA</v>
      </c>
      <c r="I26" s="96">
        <f t="shared" ca="1" si="2"/>
        <v>48</v>
      </c>
      <c r="J26" s="104">
        <f t="shared" si="3"/>
        <v>3000000</v>
      </c>
      <c r="K26" s="104" t="str">
        <f t="shared" si="4"/>
        <v/>
      </c>
      <c r="L26" s="104">
        <f t="shared" si="5"/>
        <v>150000</v>
      </c>
      <c r="M26" s="104">
        <f t="shared" si="6"/>
        <v>75000</v>
      </c>
      <c r="N26" s="104">
        <f t="shared" si="7"/>
        <v>3225000</v>
      </c>
    </row>
    <row r="27" spans="1:16" x14ac:dyDescent="0.25">
      <c r="A27" s="15">
        <v>6</v>
      </c>
      <c r="B27" s="16" t="s">
        <v>456</v>
      </c>
      <c r="C27" s="101" t="s">
        <v>457</v>
      </c>
      <c r="D27" s="16" t="s">
        <v>458</v>
      </c>
      <c r="E27" s="16" t="s">
        <v>445</v>
      </c>
      <c r="F27" s="15">
        <v>2</v>
      </c>
      <c r="G27" s="103">
        <f t="shared" si="0"/>
        <v>30020</v>
      </c>
      <c r="H27" s="96" t="str">
        <f t="shared" si="1"/>
        <v>PRIA</v>
      </c>
      <c r="I27" s="96">
        <f t="shared" ca="1" si="2"/>
        <v>41</v>
      </c>
      <c r="J27" s="104">
        <f t="shared" si="3"/>
        <v>4000000</v>
      </c>
      <c r="K27" s="104">
        <f t="shared" si="4"/>
        <v>200000</v>
      </c>
      <c r="L27" s="104">
        <f t="shared" si="5"/>
        <v>200000</v>
      </c>
      <c r="M27" s="104">
        <f t="shared" si="6"/>
        <v>100000</v>
      </c>
      <c r="N27" s="104">
        <f t="shared" si="7"/>
        <v>4500000</v>
      </c>
    </row>
    <row r="28" spans="1:16" x14ac:dyDescent="0.25">
      <c r="A28" s="15">
        <v>7</v>
      </c>
      <c r="B28" s="16" t="s">
        <v>459</v>
      </c>
      <c r="C28" s="101" t="s">
        <v>460</v>
      </c>
      <c r="D28" s="16" t="s">
        <v>430</v>
      </c>
      <c r="E28" s="16" t="s">
        <v>445</v>
      </c>
      <c r="F28" s="15">
        <v>2</v>
      </c>
      <c r="G28" s="103">
        <f t="shared" si="0"/>
        <v>23856</v>
      </c>
      <c r="H28" s="96" t="str">
        <f t="shared" si="1"/>
        <v>WANITA</v>
      </c>
      <c r="I28" s="96">
        <f t="shared" ca="1" si="2"/>
        <v>58</v>
      </c>
      <c r="J28" s="104">
        <f t="shared" si="3"/>
        <v>1000000</v>
      </c>
      <c r="K28" s="104">
        <f t="shared" si="4"/>
        <v>50000</v>
      </c>
      <c r="L28" s="104">
        <f t="shared" si="5"/>
        <v>50000</v>
      </c>
      <c r="M28" s="104">
        <f t="shared" si="6"/>
        <v>75000</v>
      </c>
      <c r="N28" s="104">
        <f t="shared" si="7"/>
        <v>1175000</v>
      </c>
    </row>
    <row r="29" spans="1:16" x14ac:dyDescent="0.25">
      <c r="A29" s="15">
        <v>8</v>
      </c>
      <c r="B29" s="16" t="s">
        <v>461</v>
      </c>
      <c r="C29" s="101" t="s">
        <v>462</v>
      </c>
      <c r="D29" s="16" t="s">
        <v>432</v>
      </c>
      <c r="E29" s="16" t="s">
        <v>445</v>
      </c>
      <c r="F29" s="15">
        <v>2</v>
      </c>
      <c r="G29" s="103">
        <f t="shared" si="0"/>
        <v>35018</v>
      </c>
      <c r="H29" s="96" t="str">
        <f t="shared" si="1"/>
        <v>PRIA</v>
      </c>
      <c r="I29" s="96">
        <f t="shared" ca="1" si="2"/>
        <v>28</v>
      </c>
      <c r="J29" s="104">
        <f t="shared" si="3"/>
        <v>2000000</v>
      </c>
      <c r="K29" s="104">
        <f t="shared" si="4"/>
        <v>100000</v>
      </c>
      <c r="L29" s="104">
        <f t="shared" si="5"/>
        <v>100000</v>
      </c>
      <c r="M29" s="104">
        <f t="shared" si="6"/>
        <v>100000</v>
      </c>
      <c r="N29" s="104">
        <f t="shared" si="7"/>
        <v>2300000</v>
      </c>
    </row>
    <row r="30" spans="1:16" x14ac:dyDescent="0.25">
      <c r="A30" s="15">
        <v>9</v>
      </c>
      <c r="B30" s="16" t="s">
        <v>463</v>
      </c>
      <c r="C30" s="101" t="s">
        <v>464</v>
      </c>
      <c r="D30" s="16" t="s">
        <v>434</v>
      </c>
      <c r="E30" s="16" t="s">
        <v>450</v>
      </c>
      <c r="F30" s="15">
        <v>0</v>
      </c>
      <c r="G30" s="103">
        <f t="shared" si="0"/>
        <v>27063</v>
      </c>
      <c r="H30" s="96" t="str">
        <f t="shared" si="1"/>
        <v>WANITA</v>
      </c>
      <c r="I30" s="96">
        <f t="shared" ca="1" si="2"/>
        <v>49</v>
      </c>
      <c r="J30" s="104">
        <f t="shared" si="3"/>
        <v>3000000</v>
      </c>
      <c r="K30" s="104" t="str">
        <f t="shared" si="4"/>
        <v/>
      </c>
      <c r="L30" s="104">
        <f t="shared" si="5"/>
        <v>0</v>
      </c>
      <c r="M30" s="104">
        <f t="shared" si="6"/>
        <v>75000</v>
      </c>
      <c r="N30" s="104">
        <f t="shared" si="7"/>
        <v>3075000</v>
      </c>
    </row>
    <row r="31" spans="1:16" x14ac:dyDescent="0.25">
      <c r="A31" s="15">
        <v>10</v>
      </c>
      <c r="B31" s="16" t="s">
        <v>465</v>
      </c>
      <c r="C31" s="101" t="s">
        <v>466</v>
      </c>
      <c r="D31" s="16" t="s">
        <v>434</v>
      </c>
      <c r="E31" s="16" t="s">
        <v>450</v>
      </c>
      <c r="F31" s="15">
        <v>0</v>
      </c>
      <c r="G31" s="103">
        <f t="shared" si="0"/>
        <v>23743</v>
      </c>
      <c r="H31" s="96" t="str">
        <f t="shared" si="1"/>
        <v>PRIA</v>
      </c>
      <c r="I31" s="96">
        <f t="shared" ca="1" si="2"/>
        <v>58</v>
      </c>
      <c r="J31" s="104">
        <f t="shared" si="3"/>
        <v>3000000</v>
      </c>
      <c r="K31" s="104" t="str">
        <f t="shared" si="4"/>
        <v/>
      </c>
      <c r="L31" s="104">
        <f t="shared" si="5"/>
        <v>0</v>
      </c>
      <c r="M31" s="104">
        <f t="shared" si="6"/>
        <v>100000</v>
      </c>
      <c r="N31" s="104">
        <f t="shared" si="7"/>
        <v>3100000</v>
      </c>
    </row>
    <row r="32" spans="1:16" x14ac:dyDescent="0.25">
      <c r="A32" s="15">
        <v>11</v>
      </c>
      <c r="B32" s="16" t="s">
        <v>467</v>
      </c>
      <c r="C32" s="101" t="s">
        <v>468</v>
      </c>
      <c r="D32" s="16" t="s">
        <v>435</v>
      </c>
      <c r="E32" s="16" t="s">
        <v>445</v>
      </c>
      <c r="F32" s="15">
        <v>2</v>
      </c>
      <c r="G32" s="103">
        <f t="shared" si="0"/>
        <v>28291</v>
      </c>
      <c r="H32" s="96" t="str">
        <f t="shared" si="1"/>
        <v>PRIA</v>
      </c>
      <c r="I32" s="96">
        <f t="shared" ca="1" si="2"/>
        <v>46</v>
      </c>
      <c r="J32" s="104">
        <f t="shared" si="3"/>
        <v>5000000</v>
      </c>
      <c r="K32" s="104">
        <f t="shared" si="4"/>
        <v>250000</v>
      </c>
      <c r="L32" s="104">
        <f t="shared" si="5"/>
        <v>250000</v>
      </c>
      <c r="M32" s="104">
        <f t="shared" si="6"/>
        <v>100000</v>
      </c>
      <c r="N32" s="104">
        <f t="shared" si="7"/>
        <v>5600000</v>
      </c>
    </row>
    <row r="33" spans="1:14" x14ac:dyDescent="0.25">
      <c r="A33" s="15">
        <v>12</v>
      </c>
      <c r="B33" s="16" t="s">
        <v>469</v>
      </c>
      <c r="C33" s="101" t="s">
        <v>470</v>
      </c>
      <c r="D33" s="16" t="s">
        <v>432</v>
      </c>
      <c r="E33" s="16" t="s">
        <v>450</v>
      </c>
      <c r="F33" s="15">
        <v>0</v>
      </c>
      <c r="G33" s="103">
        <f t="shared" si="0"/>
        <v>23269</v>
      </c>
      <c r="H33" s="96" t="str">
        <f t="shared" si="1"/>
        <v>WANITA</v>
      </c>
      <c r="I33" s="96">
        <f t="shared" ca="1" si="2"/>
        <v>60</v>
      </c>
      <c r="J33" s="104">
        <f t="shared" si="3"/>
        <v>2000000</v>
      </c>
      <c r="K33" s="104" t="str">
        <f t="shared" si="4"/>
        <v/>
      </c>
      <c r="L33" s="104">
        <f t="shared" si="5"/>
        <v>0</v>
      </c>
      <c r="M33" s="104">
        <f t="shared" si="6"/>
        <v>75000</v>
      </c>
      <c r="N33" s="104">
        <f t="shared" si="7"/>
        <v>2075000</v>
      </c>
    </row>
    <row r="34" spans="1:14" x14ac:dyDescent="0.25">
      <c r="A34" s="190" t="s">
        <v>27</v>
      </c>
      <c r="B34" s="191"/>
      <c r="C34" s="191"/>
      <c r="D34" s="191"/>
      <c r="E34" s="191"/>
      <c r="F34" s="191"/>
      <c r="G34" s="191"/>
      <c r="H34" s="191"/>
      <c r="I34" s="192"/>
      <c r="J34" s="105">
        <f>SUM(J22:J33)</f>
        <v>36000000</v>
      </c>
      <c r="K34" s="105">
        <f t="shared" ref="K34:N34" si="8">SUM(K22:K33)</f>
        <v>750000</v>
      </c>
      <c r="L34" s="105">
        <f t="shared" si="8"/>
        <v>950000</v>
      </c>
      <c r="M34" s="105">
        <f t="shared" si="8"/>
        <v>1075000</v>
      </c>
      <c r="N34" s="105">
        <f t="shared" si="8"/>
        <v>38775000</v>
      </c>
    </row>
  </sheetData>
  <mergeCells count="13">
    <mergeCell ref="A34:I34"/>
    <mergeCell ref="N20:N21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M20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E065F-B96C-468E-88AA-E90C3F52BFDB}">
  <dimension ref="A1:H32"/>
  <sheetViews>
    <sheetView topLeftCell="A9" workbookViewId="0">
      <selection activeCell="G21" sqref="G21:G23"/>
    </sheetView>
  </sheetViews>
  <sheetFormatPr defaultRowHeight="15" x14ac:dyDescent="0.25"/>
  <cols>
    <col min="1" max="1" width="4.42578125" customWidth="1"/>
    <col min="2" max="2" width="10.85546875" customWidth="1"/>
    <col min="3" max="3" width="40" customWidth="1"/>
    <col min="6" max="6" width="14.85546875" customWidth="1"/>
    <col min="7" max="7" width="13.7109375" customWidth="1"/>
    <col min="8" max="8" width="16.28515625" customWidth="1"/>
  </cols>
  <sheetData>
    <row r="1" spans="1:8" x14ac:dyDescent="0.25">
      <c r="A1" s="117" t="s">
        <v>36</v>
      </c>
      <c r="B1" s="117" t="s">
        <v>37</v>
      </c>
      <c r="C1" s="117" t="s">
        <v>38</v>
      </c>
      <c r="D1" s="118" t="s">
        <v>39</v>
      </c>
      <c r="E1" s="118"/>
      <c r="F1" s="14" t="s">
        <v>40</v>
      </c>
      <c r="G1" s="117" t="s">
        <v>41</v>
      </c>
      <c r="H1" s="117" t="s">
        <v>42</v>
      </c>
    </row>
    <row r="2" spans="1:8" x14ac:dyDescent="0.25">
      <c r="A2" s="117"/>
      <c r="B2" s="117"/>
      <c r="C2" s="117"/>
      <c r="D2" s="14" t="s">
        <v>43</v>
      </c>
      <c r="E2" s="14" t="s">
        <v>44</v>
      </c>
      <c r="F2" s="14" t="s">
        <v>44</v>
      </c>
      <c r="G2" s="117"/>
      <c r="H2" s="117"/>
    </row>
    <row r="3" spans="1:8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</row>
    <row r="4" spans="1:8" x14ac:dyDescent="0.25">
      <c r="A4" s="16" t="s">
        <v>45</v>
      </c>
      <c r="B4" s="119" t="s">
        <v>46</v>
      </c>
      <c r="C4" s="120"/>
      <c r="D4" s="120"/>
      <c r="E4" s="120"/>
      <c r="F4" s="120"/>
      <c r="G4" s="120"/>
      <c r="H4" s="121"/>
    </row>
    <row r="5" spans="1:8" x14ac:dyDescent="0.25">
      <c r="A5" s="16">
        <v>1</v>
      </c>
      <c r="B5" s="17">
        <v>43046</v>
      </c>
      <c r="C5" s="16" t="s">
        <v>47</v>
      </c>
      <c r="D5" s="1">
        <v>1</v>
      </c>
      <c r="E5" s="16" t="s">
        <v>48</v>
      </c>
      <c r="F5" s="18">
        <v>45000</v>
      </c>
      <c r="G5" s="193">
        <f>F5*D5</f>
        <v>45000</v>
      </c>
      <c r="H5" s="114">
        <f>SUM(G5:G9)</f>
        <v>111900</v>
      </c>
    </row>
    <row r="6" spans="1:8" x14ac:dyDescent="0.25">
      <c r="A6" s="16">
        <v>2</v>
      </c>
      <c r="B6" s="17">
        <v>43046</v>
      </c>
      <c r="C6" s="16" t="s">
        <v>49</v>
      </c>
      <c r="D6" s="1">
        <v>1</v>
      </c>
      <c r="E6" s="16" t="s">
        <v>50</v>
      </c>
      <c r="F6" s="18">
        <v>20500</v>
      </c>
      <c r="G6" s="193">
        <f t="shared" ref="G6:G9" si="0">F6*D6</f>
        <v>20500</v>
      </c>
      <c r="H6" s="114"/>
    </row>
    <row r="7" spans="1:8" x14ac:dyDescent="0.25">
      <c r="A7" s="16">
        <v>3</v>
      </c>
      <c r="B7" s="17">
        <v>43046</v>
      </c>
      <c r="C7" s="16" t="s">
        <v>51</v>
      </c>
      <c r="D7" s="1">
        <v>2</v>
      </c>
      <c r="E7" s="16" t="s">
        <v>52</v>
      </c>
      <c r="F7" s="18">
        <v>3500</v>
      </c>
      <c r="G7" s="193">
        <f t="shared" si="0"/>
        <v>7000</v>
      </c>
      <c r="H7" s="114"/>
    </row>
    <row r="8" spans="1:8" x14ac:dyDescent="0.25">
      <c r="A8" s="16">
        <v>4</v>
      </c>
      <c r="B8" s="17">
        <v>43046</v>
      </c>
      <c r="C8" s="16" t="s">
        <v>53</v>
      </c>
      <c r="D8" s="1">
        <v>1</v>
      </c>
      <c r="E8" s="16" t="s">
        <v>54</v>
      </c>
      <c r="F8" s="18">
        <v>4400</v>
      </c>
      <c r="G8" s="193">
        <f t="shared" si="0"/>
        <v>4400</v>
      </c>
      <c r="H8" s="114"/>
    </row>
    <row r="9" spans="1:8" x14ac:dyDescent="0.25">
      <c r="A9" s="16">
        <v>5</v>
      </c>
      <c r="B9" s="17">
        <v>43046</v>
      </c>
      <c r="C9" s="16" t="s">
        <v>55</v>
      </c>
      <c r="D9" s="1">
        <v>1</v>
      </c>
      <c r="E9" s="16" t="s">
        <v>48</v>
      </c>
      <c r="F9" s="18">
        <v>35000</v>
      </c>
      <c r="G9" s="193">
        <f t="shared" si="0"/>
        <v>35000</v>
      </c>
      <c r="H9" s="114"/>
    </row>
    <row r="10" spans="1:8" x14ac:dyDescent="0.25">
      <c r="A10" s="16" t="s">
        <v>56</v>
      </c>
      <c r="B10" s="119" t="s">
        <v>57</v>
      </c>
      <c r="C10" s="120"/>
      <c r="D10" s="120"/>
      <c r="E10" s="120"/>
      <c r="F10" s="120"/>
      <c r="G10" s="120"/>
      <c r="H10" s="121"/>
    </row>
    <row r="11" spans="1:8" x14ac:dyDescent="0.25">
      <c r="A11" s="16">
        <v>1</v>
      </c>
      <c r="B11" s="17">
        <v>43047</v>
      </c>
      <c r="C11" s="16" t="s">
        <v>58</v>
      </c>
      <c r="D11" s="15">
        <v>150</v>
      </c>
      <c r="E11" s="16" t="s">
        <v>59</v>
      </c>
      <c r="F11" s="18">
        <v>300</v>
      </c>
      <c r="G11" s="19">
        <f>D11*F11</f>
        <v>45000</v>
      </c>
      <c r="H11" s="114">
        <f>SUM(G11:G16)</f>
        <v>99500</v>
      </c>
    </row>
    <row r="12" spans="1:8" x14ac:dyDescent="0.25">
      <c r="A12" s="16">
        <v>2</v>
      </c>
      <c r="B12" s="17">
        <v>43050</v>
      </c>
      <c r="C12" s="16" t="s">
        <v>58</v>
      </c>
      <c r="D12" s="15">
        <v>60</v>
      </c>
      <c r="E12" s="16" t="s">
        <v>59</v>
      </c>
      <c r="F12" s="18">
        <v>300</v>
      </c>
      <c r="G12" s="19">
        <f t="shared" ref="G12:G16" si="1">D12*F12</f>
        <v>18000</v>
      </c>
      <c r="H12" s="114"/>
    </row>
    <row r="13" spans="1:8" x14ac:dyDescent="0.25">
      <c r="A13" s="16">
        <v>3</v>
      </c>
      <c r="B13" s="17">
        <v>43050</v>
      </c>
      <c r="C13" s="16" t="s">
        <v>60</v>
      </c>
      <c r="D13" s="15">
        <v>1</v>
      </c>
      <c r="E13" s="16" t="s">
        <v>50</v>
      </c>
      <c r="F13" s="18">
        <v>10000</v>
      </c>
      <c r="G13" s="19">
        <f t="shared" si="1"/>
        <v>10000</v>
      </c>
      <c r="H13" s="114"/>
    </row>
    <row r="14" spans="1:8" x14ac:dyDescent="0.25">
      <c r="A14" s="16">
        <v>4</v>
      </c>
      <c r="B14" s="17">
        <v>43054</v>
      </c>
      <c r="C14" s="16" t="s">
        <v>58</v>
      </c>
      <c r="D14" s="15">
        <v>40</v>
      </c>
      <c r="E14" s="16" t="s">
        <v>59</v>
      </c>
      <c r="F14" s="18">
        <v>300</v>
      </c>
      <c r="G14" s="19">
        <f t="shared" si="1"/>
        <v>12000</v>
      </c>
      <c r="H14" s="114"/>
    </row>
    <row r="15" spans="1:8" x14ac:dyDescent="0.25">
      <c r="A15" s="16">
        <v>5</v>
      </c>
      <c r="B15" s="17">
        <v>43059</v>
      </c>
      <c r="C15" s="16" t="s">
        <v>58</v>
      </c>
      <c r="D15" s="15">
        <v>15</v>
      </c>
      <c r="E15" s="16" t="s">
        <v>59</v>
      </c>
      <c r="F15" s="18">
        <v>300</v>
      </c>
      <c r="G15" s="19">
        <f t="shared" si="1"/>
        <v>4500</v>
      </c>
      <c r="H15" s="114"/>
    </row>
    <row r="16" spans="1:8" x14ac:dyDescent="0.25">
      <c r="A16" s="16">
        <v>6</v>
      </c>
      <c r="B16" s="17">
        <v>43059</v>
      </c>
      <c r="C16" s="16" t="s">
        <v>60</v>
      </c>
      <c r="D16" s="15">
        <v>1</v>
      </c>
      <c r="E16" s="16" t="s">
        <v>50</v>
      </c>
      <c r="F16" s="18">
        <v>10000</v>
      </c>
      <c r="G16" s="19">
        <f t="shared" si="1"/>
        <v>10000</v>
      </c>
      <c r="H16" s="114"/>
    </row>
    <row r="17" spans="1:8" x14ac:dyDescent="0.25">
      <c r="A17" s="16" t="s">
        <v>61</v>
      </c>
      <c r="B17" s="119" t="s">
        <v>62</v>
      </c>
      <c r="C17" s="120"/>
      <c r="D17" s="120"/>
      <c r="E17" s="120"/>
      <c r="F17" s="120"/>
      <c r="G17" s="120"/>
      <c r="H17" s="121"/>
    </row>
    <row r="18" spans="1:8" x14ac:dyDescent="0.25">
      <c r="A18" s="16">
        <v>1</v>
      </c>
      <c r="B18" s="17">
        <v>43046</v>
      </c>
      <c r="C18" s="16" t="s">
        <v>63</v>
      </c>
      <c r="D18" s="15">
        <v>10</v>
      </c>
      <c r="E18" s="16" t="s">
        <v>64</v>
      </c>
      <c r="F18" s="18">
        <v>150000</v>
      </c>
      <c r="G18" s="19">
        <f>D18*F18</f>
        <v>1500000</v>
      </c>
      <c r="H18" s="114">
        <f>SUM(G18:G19)</f>
        <v>1650000</v>
      </c>
    </row>
    <row r="19" spans="1:8" x14ac:dyDescent="0.25">
      <c r="A19" s="16">
        <v>2</v>
      </c>
      <c r="B19" s="17">
        <v>43061</v>
      </c>
      <c r="C19" s="16" t="s">
        <v>65</v>
      </c>
      <c r="D19" s="15">
        <v>10</v>
      </c>
      <c r="E19" s="16" t="s">
        <v>66</v>
      </c>
      <c r="F19" s="18">
        <v>15000</v>
      </c>
      <c r="G19" s="19">
        <f>D19*F19</f>
        <v>150000</v>
      </c>
      <c r="H19" s="114"/>
    </row>
    <row r="20" spans="1:8" x14ac:dyDescent="0.25">
      <c r="A20" s="16" t="s">
        <v>67</v>
      </c>
      <c r="B20" s="123" t="s">
        <v>68</v>
      </c>
      <c r="C20" s="124"/>
      <c r="D20" s="124"/>
      <c r="E20" s="124"/>
      <c r="F20" s="124"/>
      <c r="G20" s="124"/>
      <c r="H20" s="125"/>
    </row>
    <row r="21" spans="1:8" x14ac:dyDescent="0.25">
      <c r="A21" s="16">
        <v>1</v>
      </c>
      <c r="B21" s="17">
        <v>43062</v>
      </c>
      <c r="C21" s="16" t="s">
        <v>69</v>
      </c>
      <c r="D21" s="15">
        <v>1</v>
      </c>
      <c r="E21" s="16" t="s">
        <v>52</v>
      </c>
      <c r="F21" s="18">
        <v>3000</v>
      </c>
      <c r="G21" s="19">
        <f>D21*F21</f>
        <v>3000</v>
      </c>
      <c r="H21" s="114">
        <f>SUM(G21:G23)</f>
        <v>159000</v>
      </c>
    </row>
    <row r="22" spans="1:8" x14ac:dyDescent="0.25">
      <c r="A22" s="16">
        <v>2</v>
      </c>
      <c r="B22" s="17">
        <v>43062</v>
      </c>
      <c r="C22" s="16" t="s">
        <v>70</v>
      </c>
      <c r="D22" s="15">
        <v>1</v>
      </c>
      <c r="E22" s="16" t="s">
        <v>52</v>
      </c>
      <c r="F22" s="18">
        <v>6000</v>
      </c>
      <c r="G22" s="19">
        <f t="shared" ref="G22:G23" si="2">D22*F22</f>
        <v>6000</v>
      </c>
      <c r="H22" s="114"/>
    </row>
    <row r="23" spans="1:8" x14ac:dyDescent="0.25">
      <c r="A23" s="16">
        <v>3</v>
      </c>
      <c r="B23" s="17">
        <v>43062</v>
      </c>
      <c r="C23" s="16" t="s">
        <v>71</v>
      </c>
      <c r="D23" s="15">
        <v>1</v>
      </c>
      <c r="E23" s="16" t="s">
        <v>50</v>
      </c>
      <c r="F23" s="18">
        <v>150000</v>
      </c>
      <c r="G23" s="19">
        <f t="shared" si="2"/>
        <v>150000</v>
      </c>
      <c r="H23" s="114"/>
    </row>
    <row r="24" spans="1:8" x14ac:dyDescent="0.25">
      <c r="A24" s="123" t="s">
        <v>72</v>
      </c>
      <c r="B24" s="124"/>
      <c r="C24" s="124"/>
      <c r="D24" s="124"/>
      <c r="E24" s="124"/>
      <c r="F24" s="124"/>
      <c r="G24" s="125"/>
      <c r="H24" s="20">
        <f>SUM(H5,H11,H18,H21)</f>
        <v>2020400</v>
      </c>
    </row>
    <row r="25" spans="1:8" x14ac:dyDescent="0.25">
      <c r="A25" s="123" t="s">
        <v>296</v>
      </c>
      <c r="B25" s="124"/>
      <c r="C25" s="124"/>
      <c r="D25" s="124"/>
      <c r="E25" s="124"/>
      <c r="F25" s="124"/>
      <c r="G25" s="124"/>
      <c r="H25" s="125"/>
    </row>
    <row r="27" spans="1:8" x14ac:dyDescent="0.25">
      <c r="D27" s="126" t="s">
        <v>73</v>
      </c>
      <c r="E27" s="126"/>
      <c r="F27" s="126"/>
      <c r="G27" s="126"/>
      <c r="H27" s="126"/>
    </row>
    <row r="28" spans="1:8" x14ac:dyDescent="0.25">
      <c r="D28" s="122" t="s">
        <v>74</v>
      </c>
      <c r="E28" s="122"/>
      <c r="F28" s="122"/>
      <c r="G28" s="122"/>
      <c r="H28" s="122"/>
    </row>
    <row r="29" spans="1:8" x14ac:dyDescent="0.25">
      <c r="D29" s="122" t="s">
        <v>75</v>
      </c>
      <c r="E29" s="122"/>
      <c r="F29" s="122"/>
      <c r="G29" s="122"/>
      <c r="H29" s="122"/>
    </row>
    <row r="32" spans="1:8" x14ac:dyDescent="0.25">
      <c r="D32" s="122" t="s">
        <v>76</v>
      </c>
      <c r="E32" s="122"/>
      <c r="F32" s="122"/>
      <c r="G32" s="122"/>
      <c r="H32" s="122"/>
    </row>
  </sheetData>
  <mergeCells count="20">
    <mergeCell ref="D29:H29"/>
    <mergeCell ref="D32:H32"/>
    <mergeCell ref="B20:H20"/>
    <mergeCell ref="H21:H23"/>
    <mergeCell ref="A24:G24"/>
    <mergeCell ref="A25:H25"/>
    <mergeCell ref="D27:H27"/>
    <mergeCell ref="D28:H28"/>
    <mergeCell ref="B4:H4"/>
    <mergeCell ref="H5:H9"/>
    <mergeCell ref="B10:H10"/>
    <mergeCell ref="H11:H16"/>
    <mergeCell ref="B17:H17"/>
    <mergeCell ref="H18:H19"/>
    <mergeCell ref="A1:A2"/>
    <mergeCell ref="B1:B2"/>
    <mergeCell ref="C1:C2"/>
    <mergeCell ref="D1:E1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957D7-42AC-4EFB-ABD2-A13915F0A819}">
  <dimension ref="A1:H37"/>
  <sheetViews>
    <sheetView workbookViewId="0">
      <selection activeCell="G10" sqref="G10"/>
    </sheetView>
  </sheetViews>
  <sheetFormatPr defaultRowHeight="15" x14ac:dyDescent="0.25"/>
  <cols>
    <col min="1" max="1" width="6" customWidth="1"/>
    <col min="2" max="2" width="12" customWidth="1"/>
    <col min="3" max="3" width="38.85546875" bestFit="1" customWidth="1"/>
    <col min="4" max="4" width="9.7109375" customWidth="1"/>
    <col min="5" max="5" width="12.28515625" customWidth="1"/>
    <col min="6" max="6" width="20.85546875" customWidth="1"/>
    <col min="7" max="7" width="15.85546875" bestFit="1" customWidth="1"/>
    <col min="8" max="8" width="25.28515625" bestFit="1" customWidth="1"/>
  </cols>
  <sheetData>
    <row r="1" spans="1:8" x14ac:dyDescent="0.25">
      <c r="A1" s="115" t="s">
        <v>32</v>
      </c>
      <c r="B1" s="115"/>
      <c r="C1" s="115"/>
      <c r="D1" s="115"/>
      <c r="E1" s="115"/>
      <c r="F1" s="115"/>
      <c r="G1" s="115"/>
      <c r="H1" s="115"/>
    </row>
    <row r="2" spans="1:8" x14ac:dyDescent="0.25">
      <c r="A2" s="116" t="s">
        <v>33</v>
      </c>
      <c r="B2" s="116"/>
      <c r="C2" s="116"/>
      <c r="D2" s="116"/>
      <c r="E2" s="116"/>
      <c r="F2" s="116"/>
      <c r="G2" s="116"/>
      <c r="H2" s="116"/>
    </row>
    <row r="3" spans="1:8" x14ac:dyDescent="0.25">
      <c r="A3" s="116" t="s">
        <v>34</v>
      </c>
      <c r="B3" s="116"/>
      <c r="C3" s="116"/>
      <c r="D3" s="116"/>
      <c r="E3" s="116"/>
      <c r="F3" s="116"/>
      <c r="G3" s="116"/>
      <c r="H3" s="116"/>
    </row>
    <row r="4" spans="1:8" x14ac:dyDescent="0.25">
      <c r="A4" s="116" t="s">
        <v>35</v>
      </c>
      <c r="B4" s="116"/>
      <c r="C4" s="116"/>
      <c r="D4" s="116"/>
      <c r="E4" s="116"/>
      <c r="F4" s="116"/>
      <c r="G4" s="116"/>
      <c r="H4" s="116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x14ac:dyDescent="0.25">
      <c r="A6" s="117" t="s">
        <v>36</v>
      </c>
      <c r="B6" s="117" t="s">
        <v>37</v>
      </c>
      <c r="C6" s="117" t="s">
        <v>38</v>
      </c>
      <c r="D6" s="118" t="s">
        <v>39</v>
      </c>
      <c r="E6" s="118"/>
      <c r="F6" s="14" t="s">
        <v>40</v>
      </c>
      <c r="G6" s="117" t="s">
        <v>41</v>
      </c>
      <c r="H6" s="117" t="s">
        <v>42</v>
      </c>
    </row>
    <row r="7" spans="1:8" x14ac:dyDescent="0.25">
      <c r="A7" s="117"/>
      <c r="B7" s="117"/>
      <c r="C7" s="117"/>
      <c r="D7" s="14" t="s">
        <v>43</v>
      </c>
      <c r="E7" s="14" t="s">
        <v>44</v>
      </c>
      <c r="F7" s="14" t="s">
        <v>44</v>
      </c>
      <c r="G7" s="117"/>
      <c r="H7" s="117"/>
    </row>
    <row r="8" spans="1:8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8" x14ac:dyDescent="0.25">
      <c r="A9" s="16" t="s">
        <v>45</v>
      </c>
      <c r="B9" s="119" t="s">
        <v>46</v>
      </c>
      <c r="C9" s="120"/>
      <c r="D9" s="120"/>
      <c r="E9" s="120"/>
      <c r="F9" s="120"/>
      <c r="G9" s="120"/>
      <c r="H9" s="121"/>
    </row>
    <row r="10" spans="1:8" x14ac:dyDescent="0.25">
      <c r="A10" s="16">
        <v>1</v>
      </c>
      <c r="B10" s="17">
        <v>43046</v>
      </c>
      <c r="C10" s="16" t="s">
        <v>47</v>
      </c>
      <c r="D10" s="1">
        <v>1</v>
      </c>
      <c r="E10" s="16" t="s">
        <v>48</v>
      </c>
      <c r="F10" s="18">
        <v>45000</v>
      </c>
      <c r="G10" s="19">
        <f>D10*F10</f>
        <v>45000</v>
      </c>
      <c r="H10" s="127">
        <f>SUM(G10:G14)</f>
        <v>111900</v>
      </c>
    </row>
    <row r="11" spans="1:8" x14ac:dyDescent="0.25">
      <c r="A11" s="16">
        <v>2</v>
      </c>
      <c r="B11" s="17">
        <v>43046</v>
      </c>
      <c r="C11" s="16" t="s">
        <v>49</v>
      </c>
      <c r="D11" s="1">
        <v>1</v>
      </c>
      <c r="E11" s="16" t="s">
        <v>50</v>
      </c>
      <c r="F11" s="18">
        <v>20500</v>
      </c>
      <c r="G11" s="19">
        <f t="shared" ref="G11:G14" si="0">D11*F11</f>
        <v>20500</v>
      </c>
      <c r="H11" s="127"/>
    </row>
    <row r="12" spans="1:8" x14ac:dyDescent="0.25">
      <c r="A12" s="16">
        <v>3</v>
      </c>
      <c r="B12" s="17">
        <v>43046</v>
      </c>
      <c r="C12" s="16" t="s">
        <v>51</v>
      </c>
      <c r="D12" s="1">
        <v>2</v>
      </c>
      <c r="E12" s="16" t="s">
        <v>52</v>
      </c>
      <c r="F12" s="18">
        <v>3500</v>
      </c>
      <c r="G12" s="19">
        <f t="shared" si="0"/>
        <v>7000</v>
      </c>
      <c r="H12" s="127"/>
    </row>
    <row r="13" spans="1:8" x14ac:dyDescent="0.25">
      <c r="A13" s="16">
        <v>4</v>
      </c>
      <c r="B13" s="17">
        <v>43046</v>
      </c>
      <c r="C13" s="16" t="s">
        <v>53</v>
      </c>
      <c r="D13" s="1">
        <v>1</v>
      </c>
      <c r="E13" s="16" t="s">
        <v>54</v>
      </c>
      <c r="F13" s="18">
        <v>4400</v>
      </c>
      <c r="G13" s="19">
        <f t="shared" si="0"/>
        <v>4400</v>
      </c>
      <c r="H13" s="127"/>
    </row>
    <row r="14" spans="1:8" x14ac:dyDescent="0.25">
      <c r="A14" s="16">
        <v>5</v>
      </c>
      <c r="B14" s="17">
        <v>43046</v>
      </c>
      <c r="C14" s="16" t="s">
        <v>55</v>
      </c>
      <c r="D14" s="1">
        <v>1</v>
      </c>
      <c r="E14" s="16" t="s">
        <v>48</v>
      </c>
      <c r="F14" s="18">
        <v>35000</v>
      </c>
      <c r="G14" s="19">
        <f t="shared" si="0"/>
        <v>35000</v>
      </c>
      <c r="H14" s="127"/>
    </row>
    <row r="15" spans="1:8" x14ac:dyDescent="0.25">
      <c r="A15" s="16" t="s">
        <v>56</v>
      </c>
      <c r="B15" s="119" t="s">
        <v>57</v>
      </c>
      <c r="C15" s="120"/>
      <c r="D15" s="120"/>
      <c r="E15" s="120"/>
      <c r="F15" s="120"/>
      <c r="G15" s="120"/>
      <c r="H15" s="121"/>
    </row>
    <row r="16" spans="1:8" x14ac:dyDescent="0.25">
      <c r="A16" s="16">
        <v>1</v>
      </c>
      <c r="B16" s="17">
        <v>43047</v>
      </c>
      <c r="C16" s="16" t="s">
        <v>58</v>
      </c>
      <c r="D16" s="15">
        <v>150</v>
      </c>
      <c r="E16" s="16" t="s">
        <v>59</v>
      </c>
      <c r="F16" s="18">
        <v>300</v>
      </c>
      <c r="G16" s="19">
        <f>D16*F16</f>
        <v>45000</v>
      </c>
      <c r="H16" s="127">
        <f>SUM(G16:G21)</f>
        <v>99500</v>
      </c>
    </row>
    <row r="17" spans="1:8" x14ac:dyDescent="0.25">
      <c r="A17" s="16">
        <v>2</v>
      </c>
      <c r="B17" s="17">
        <v>43050</v>
      </c>
      <c r="C17" s="16" t="s">
        <v>58</v>
      </c>
      <c r="D17" s="15">
        <v>60</v>
      </c>
      <c r="E17" s="16" t="s">
        <v>59</v>
      </c>
      <c r="F17" s="18">
        <v>300</v>
      </c>
      <c r="G17" s="19">
        <f t="shared" ref="G17:G21" si="1">D17*F17</f>
        <v>18000</v>
      </c>
      <c r="H17" s="127"/>
    </row>
    <row r="18" spans="1:8" x14ac:dyDescent="0.25">
      <c r="A18" s="16">
        <v>3</v>
      </c>
      <c r="B18" s="17">
        <v>43050</v>
      </c>
      <c r="C18" s="16" t="s">
        <v>60</v>
      </c>
      <c r="D18" s="15">
        <v>1</v>
      </c>
      <c r="E18" s="16" t="s">
        <v>50</v>
      </c>
      <c r="F18" s="18">
        <v>10000</v>
      </c>
      <c r="G18" s="19">
        <f t="shared" si="1"/>
        <v>10000</v>
      </c>
      <c r="H18" s="127"/>
    </row>
    <row r="19" spans="1:8" x14ac:dyDescent="0.25">
      <c r="A19" s="16">
        <v>4</v>
      </c>
      <c r="B19" s="17">
        <v>43054</v>
      </c>
      <c r="C19" s="16" t="s">
        <v>58</v>
      </c>
      <c r="D19" s="15">
        <v>40</v>
      </c>
      <c r="E19" s="16" t="s">
        <v>59</v>
      </c>
      <c r="F19" s="18">
        <v>300</v>
      </c>
      <c r="G19" s="19">
        <f t="shared" si="1"/>
        <v>12000</v>
      </c>
      <c r="H19" s="127"/>
    </row>
    <row r="20" spans="1:8" x14ac:dyDescent="0.25">
      <c r="A20" s="16">
        <v>5</v>
      </c>
      <c r="B20" s="17">
        <v>43059</v>
      </c>
      <c r="C20" s="16" t="s">
        <v>58</v>
      </c>
      <c r="D20" s="15">
        <v>15</v>
      </c>
      <c r="E20" s="16" t="s">
        <v>59</v>
      </c>
      <c r="F20" s="18">
        <v>300</v>
      </c>
      <c r="G20" s="19">
        <f t="shared" si="1"/>
        <v>4500</v>
      </c>
      <c r="H20" s="127"/>
    </row>
    <row r="21" spans="1:8" x14ac:dyDescent="0.25">
      <c r="A21" s="16">
        <v>6</v>
      </c>
      <c r="B21" s="17">
        <v>43059</v>
      </c>
      <c r="C21" s="16" t="s">
        <v>60</v>
      </c>
      <c r="D21" s="15">
        <v>1</v>
      </c>
      <c r="E21" s="16" t="s">
        <v>50</v>
      </c>
      <c r="F21" s="18">
        <v>10000</v>
      </c>
      <c r="G21" s="19">
        <f t="shared" si="1"/>
        <v>10000</v>
      </c>
      <c r="H21" s="127"/>
    </row>
    <row r="22" spans="1:8" x14ac:dyDescent="0.25">
      <c r="A22" s="16" t="s">
        <v>61</v>
      </c>
      <c r="B22" s="119" t="s">
        <v>62</v>
      </c>
      <c r="C22" s="120"/>
      <c r="D22" s="120"/>
      <c r="E22" s="120"/>
      <c r="F22" s="120"/>
      <c r="G22" s="120"/>
      <c r="H22" s="121"/>
    </row>
    <row r="23" spans="1:8" x14ac:dyDescent="0.25">
      <c r="A23" s="16">
        <v>1</v>
      </c>
      <c r="B23" s="17">
        <v>43046</v>
      </c>
      <c r="C23" s="16" t="s">
        <v>63</v>
      </c>
      <c r="D23" s="15">
        <v>10</v>
      </c>
      <c r="E23" s="16" t="s">
        <v>64</v>
      </c>
      <c r="F23" s="18">
        <v>150000</v>
      </c>
      <c r="G23" s="19">
        <f>D23*F23</f>
        <v>1500000</v>
      </c>
      <c r="H23" s="127">
        <f>SUM(G23:G24)</f>
        <v>1650000</v>
      </c>
    </row>
    <row r="24" spans="1:8" x14ac:dyDescent="0.25">
      <c r="A24" s="16">
        <v>2</v>
      </c>
      <c r="B24" s="17">
        <v>43061</v>
      </c>
      <c r="C24" s="16" t="s">
        <v>65</v>
      </c>
      <c r="D24" s="15">
        <v>10</v>
      </c>
      <c r="E24" s="16" t="s">
        <v>66</v>
      </c>
      <c r="F24" s="18">
        <v>15000</v>
      </c>
      <c r="G24" s="19">
        <f>D24*F24</f>
        <v>150000</v>
      </c>
      <c r="H24" s="127"/>
    </row>
    <row r="25" spans="1:8" x14ac:dyDescent="0.25">
      <c r="A25" s="16" t="s">
        <v>67</v>
      </c>
      <c r="B25" s="123" t="s">
        <v>68</v>
      </c>
      <c r="C25" s="124"/>
      <c r="D25" s="124"/>
      <c r="E25" s="124"/>
      <c r="F25" s="124"/>
      <c r="G25" s="124"/>
      <c r="H25" s="125"/>
    </row>
    <row r="26" spans="1:8" x14ac:dyDescent="0.25">
      <c r="A26" s="16">
        <v>1</v>
      </c>
      <c r="B26" s="17">
        <v>43062</v>
      </c>
      <c r="C26" s="16" t="s">
        <v>69</v>
      </c>
      <c r="D26" s="15">
        <v>1</v>
      </c>
      <c r="E26" s="16" t="s">
        <v>52</v>
      </c>
      <c r="F26" s="18">
        <v>3000</v>
      </c>
      <c r="G26" s="19">
        <f>D26*F26</f>
        <v>3000</v>
      </c>
      <c r="H26" s="127">
        <f>SUM(G26:G28)</f>
        <v>159000</v>
      </c>
    </row>
    <row r="27" spans="1:8" x14ac:dyDescent="0.25">
      <c r="A27" s="16">
        <v>2</v>
      </c>
      <c r="B27" s="17">
        <v>43062</v>
      </c>
      <c r="C27" s="16" t="s">
        <v>70</v>
      </c>
      <c r="D27" s="15">
        <v>1</v>
      </c>
      <c r="E27" s="16" t="s">
        <v>52</v>
      </c>
      <c r="F27" s="18">
        <v>6000</v>
      </c>
      <c r="G27" s="19">
        <f t="shared" ref="G27:G28" si="2">D27*F27</f>
        <v>6000</v>
      </c>
      <c r="H27" s="127"/>
    </row>
    <row r="28" spans="1:8" x14ac:dyDescent="0.25">
      <c r="A28" s="16">
        <v>3</v>
      </c>
      <c r="B28" s="17">
        <v>43062</v>
      </c>
      <c r="C28" s="16" t="s">
        <v>71</v>
      </c>
      <c r="D28" s="15">
        <v>1</v>
      </c>
      <c r="E28" s="16" t="s">
        <v>50</v>
      </c>
      <c r="F28" s="18">
        <v>150000</v>
      </c>
      <c r="G28" s="19">
        <f t="shared" si="2"/>
        <v>150000</v>
      </c>
      <c r="H28" s="127"/>
    </row>
    <row r="29" spans="1:8" x14ac:dyDescent="0.25">
      <c r="A29" s="123" t="s">
        <v>72</v>
      </c>
      <c r="B29" s="124"/>
      <c r="C29" s="124"/>
      <c r="D29" s="124"/>
      <c r="E29" s="124"/>
      <c r="F29" s="124"/>
      <c r="G29" s="125"/>
      <c r="H29" s="21">
        <f>SUM(H10,H16,H23,H26)</f>
        <v>2020400</v>
      </c>
    </row>
    <row r="30" spans="1:8" x14ac:dyDescent="0.25">
      <c r="A30" s="123" t="s">
        <v>296</v>
      </c>
      <c r="B30" s="124"/>
      <c r="C30" s="124"/>
      <c r="D30" s="124"/>
      <c r="E30" s="124"/>
      <c r="F30" s="124"/>
      <c r="G30" s="124"/>
      <c r="H30" s="125"/>
    </row>
    <row r="32" spans="1:8" x14ac:dyDescent="0.25">
      <c r="D32" s="126" t="s">
        <v>73</v>
      </c>
      <c r="E32" s="126"/>
      <c r="F32" s="126"/>
      <c r="G32" s="126"/>
      <c r="H32" s="126"/>
    </row>
    <row r="33" spans="4:8" x14ac:dyDescent="0.25">
      <c r="D33" s="122" t="s">
        <v>74</v>
      </c>
      <c r="E33" s="122"/>
      <c r="F33" s="122"/>
      <c r="G33" s="122"/>
      <c r="H33" s="122"/>
    </row>
    <row r="34" spans="4:8" x14ac:dyDescent="0.25">
      <c r="D34" s="122" t="s">
        <v>75</v>
      </c>
      <c r="E34" s="122"/>
      <c r="F34" s="122"/>
      <c r="G34" s="122"/>
      <c r="H34" s="122"/>
    </row>
    <row r="37" spans="4:8" x14ac:dyDescent="0.25">
      <c r="D37" s="122" t="s">
        <v>76</v>
      </c>
      <c r="E37" s="122"/>
      <c r="F37" s="122"/>
      <c r="G37" s="122"/>
      <c r="H37" s="122"/>
    </row>
  </sheetData>
  <mergeCells count="24">
    <mergeCell ref="D34:H34"/>
    <mergeCell ref="D37:H37"/>
    <mergeCell ref="B25:H25"/>
    <mergeCell ref="H26:H28"/>
    <mergeCell ref="A29:G29"/>
    <mergeCell ref="A30:H30"/>
    <mergeCell ref="D32:H32"/>
    <mergeCell ref="D33:H33"/>
    <mergeCell ref="H23:H24"/>
    <mergeCell ref="A1:H1"/>
    <mergeCell ref="A2:H2"/>
    <mergeCell ref="A3:H3"/>
    <mergeCell ref="A4:H4"/>
    <mergeCell ref="A6:A7"/>
    <mergeCell ref="B6:B7"/>
    <mergeCell ref="C6:C7"/>
    <mergeCell ref="D6:E6"/>
    <mergeCell ref="G6:G7"/>
    <mergeCell ref="H6:H7"/>
    <mergeCell ref="B9:H9"/>
    <mergeCell ref="H10:H14"/>
    <mergeCell ref="B15:H15"/>
    <mergeCell ref="H16:H21"/>
    <mergeCell ref="B22:H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zoomScale="85" zoomScaleNormal="85" workbookViewId="0">
      <selection sqref="A1:J21"/>
    </sheetView>
  </sheetViews>
  <sheetFormatPr defaultRowHeight="15" x14ac:dyDescent="0.25"/>
  <cols>
    <col min="1" max="1" width="5.5703125" customWidth="1"/>
    <col min="2" max="2" width="20.85546875" customWidth="1"/>
    <col min="3" max="3" width="10.7109375" customWidth="1"/>
    <col min="4" max="4" width="17.5703125" customWidth="1"/>
    <col min="5" max="8" width="15.5703125" bestFit="1" customWidth="1"/>
    <col min="9" max="10" width="16.5703125" bestFit="1" customWidth="1"/>
  </cols>
  <sheetData>
    <row r="1" spans="1:10" ht="18.75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8.75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30" x14ac:dyDescent="0.8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</row>
    <row r="5" spans="1:10" x14ac:dyDescent="0.25">
      <c r="A5" s="131" t="s">
        <v>11</v>
      </c>
      <c r="B5" s="131" t="s">
        <v>12</v>
      </c>
      <c r="C5" s="131" t="s">
        <v>13</v>
      </c>
      <c r="D5" s="131" t="s">
        <v>3</v>
      </c>
      <c r="E5" s="131" t="s">
        <v>4</v>
      </c>
      <c r="F5" s="131"/>
      <c r="G5" s="131"/>
      <c r="H5" s="131" t="s">
        <v>8</v>
      </c>
      <c r="I5" s="131" t="s">
        <v>9</v>
      </c>
      <c r="J5" s="131" t="s">
        <v>10</v>
      </c>
    </row>
    <row r="6" spans="1:10" ht="30" x14ac:dyDescent="0.25">
      <c r="A6" s="131"/>
      <c r="B6" s="131"/>
      <c r="C6" s="131"/>
      <c r="D6" s="131"/>
      <c r="E6" s="2" t="s">
        <v>5</v>
      </c>
      <c r="F6" s="2" t="s">
        <v>6</v>
      </c>
      <c r="G6" s="2" t="s">
        <v>7</v>
      </c>
      <c r="H6" s="131"/>
      <c r="I6" s="131"/>
      <c r="J6" s="131"/>
    </row>
    <row r="7" spans="1:10" x14ac:dyDescent="0.25">
      <c r="A7" s="1">
        <v>1</v>
      </c>
      <c r="B7" s="4" t="s">
        <v>14</v>
      </c>
      <c r="C7" s="1">
        <v>28</v>
      </c>
      <c r="D7" s="6">
        <v>4000000</v>
      </c>
      <c r="E7" s="8"/>
      <c r="F7" s="8"/>
      <c r="G7" s="8"/>
      <c r="H7" s="6">
        <v>635000</v>
      </c>
      <c r="I7" s="8"/>
      <c r="J7" s="8"/>
    </row>
    <row r="8" spans="1:10" x14ac:dyDescent="0.25">
      <c r="A8" s="1">
        <v>2</v>
      </c>
      <c r="B8" s="4" t="s">
        <v>15</v>
      </c>
      <c r="C8" s="1">
        <v>24</v>
      </c>
      <c r="D8" s="6">
        <v>4500000</v>
      </c>
      <c r="E8" s="8"/>
      <c r="F8" s="8"/>
      <c r="G8" s="8"/>
      <c r="H8" s="6">
        <v>375000</v>
      </c>
      <c r="I8" s="8"/>
      <c r="J8" s="8"/>
    </row>
    <row r="9" spans="1:10" x14ac:dyDescent="0.25">
      <c r="A9" s="1">
        <v>3</v>
      </c>
      <c r="B9" s="4" t="s">
        <v>16</v>
      </c>
      <c r="C9" s="1">
        <v>27</v>
      </c>
      <c r="D9" s="6">
        <v>3750000</v>
      </c>
      <c r="E9" s="8"/>
      <c r="F9" s="8"/>
      <c r="G9" s="8"/>
      <c r="H9" s="6">
        <v>195000</v>
      </c>
      <c r="I9" s="8"/>
      <c r="J9" s="8"/>
    </row>
    <row r="10" spans="1:10" x14ac:dyDescent="0.25">
      <c r="A10" s="1">
        <v>4</v>
      </c>
      <c r="B10" s="4" t="s">
        <v>17</v>
      </c>
      <c r="C10" s="1">
        <v>28</v>
      </c>
      <c r="D10" s="6">
        <v>4000000</v>
      </c>
      <c r="E10" s="8"/>
      <c r="F10" s="8"/>
      <c r="G10" s="8"/>
      <c r="H10" s="6">
        <v>250000</v>
      </c>
      <c r="I10" s="8"/>
      <c r="J10" s="8"/>
    </row>
    <row r="11" spans="1:10" x14ac:dyDescent="0.25">
      <c r="A11" s="1">
        <v>5</v>
      </c>
      <c r="B11" s="4" t="s">
        <v>18</v>
      </c>
      <c r="C11" s="1">
        <v>25</v>
      </c>
      <c r="D11" s="6">
        <v>2700000</v>
      </c>
      <c r="E11" s="8"/>
      <c r="F11" s="8"/>
      <c r="G11" s="8"/>
      <c r="H11" s="6">
        <v>175000</v>
      </c>
      <c r="I11" s="8"/>
      <c r="J11" s="8"/>
    </row>
    <row r="12" spans="1:10" x14ac:dyDescent="0.25">
      <c r="A12" s="1">
        <v>6</v>
      </c>
      <c r="B12" s="4" t="s">
        <v>19</v>
      </c>
      <c r="C12" s="1">
        <v>26</v>
      </c>
      <c r="D12" s="6">
        <v>2600000</v>
      </c>
      <c r="E12" s="8"/>
      <c r="F12" s="8"/>
      <c r="G12" s="8"/>
      <c r="H12" s="6">
        <v>220000</v>
      </c>
      <c r="I12" s="8"/>
      <c r="J12" s="8"/>
    </row>
    <row r="13" spans="1:10" x14ac:dyDescent="0.25">
      <c r="A13" s="1">
        <v>7</v>
      </c>
      <c r="B13" s="4" t="s">
        <v>20</v>
      </c>
      <c r="C13" s="1">
        <v>27</v>
      </c>
      <c r="D13" s="6">
        <v>2450000</v>
      </c>
      <c r="E13" s="8"/>
      <c r="F13" s="8"/>
      <c r="G13" s="8"/>
      <c r="H13" s="6">
        <v>175000</v>
      </c>
      <c r="I13" s="8"/>
      <c r="J13" s="8"/>
    </row>
    <row r="14" spans="1:10" x14ac:dyDescent="0.25">
      <c r="A14" s="1">
        <v>8</v>
      </c>
      <c r="B14" s="4" t="s">
        <v>21</v>
      </c>
      <c r="C14" s="1">
        <v>25</v>
      </c>
      <c r="D14" s="6">
        <v>2250000</v>
      </c>
      <c r="E14" s="8"/>
      <c r="F14" s="8"/>
      <c r="G14" s="8"/>
      <c r="H14" s="6">
        <v>350000</v>
      </c>
      <c r="I14" s="8"/>
      <c r="J14" s="8"/>
    </row>
    <row r="15" spans="1:10" x14ac:dyDescent="0.25">
      <c r="A15" s="1">
        <v>9</v>
      </c>
      <c r="B15" s="4" t="s">
        <v>22</v>
      </c>
      <c r="C15" s="1">
        <v>24</v>
      </c>
      <c r="D15" s="6">
        <v>2150000</v>
      </c>
      <c r="E15" s="8"/>
      <c r="F15" s="8"/>
      <c r="G15" s="8"/>
      <c r="H15" s="6">
        <v>455000</v>
      </c>
      <c r="I15" s="8"/>
      <c r="J15" s="8"/>
    </row>
    <row r="16" spans="1:10" x14ac:dyDescent="0.25">
      <c r="A16" s="1">
        <v>10</v>
      </c>
      <c r="B16" s="4" t="s">
        <v>23</v>
      </c>
      <c r="C16" s="1">
        <v>23</v>
      </c>
      <c r="D16" s="7">
        <v>4000000</v>
      </c>
      <c r="E16" s="8"/>
      <c r="F16" s="8"/>
      <c r="G16" s="8"/>
      <c r="H16" s="8">
        <v>155000</v>
      </c>
      <c r="I16" s="8"/>
      <c r="J16" s="8"/>
    </row>
    <row r="17" spans="1:10" x14ac:dyDescent="0.25">
      <c r="A17" s="128" t="s">
        <v>27</v>
      </c>
      <c r="B17" s="130"/>
      <c r="C17" s="130"/>
      <c r="D17" s="129"/>
      <c r="E17" s="12"/>
      <c r="F17" s="12"/>
      <c r="G17" s="12"/>
      <c r="H17" s="12"/>
      <c r="I17" s="12"/>
      <c r="J17" s="12"/>
    </row>
    <row r="19" spans="1:10" x14ac:dyDescent="0.25">
      <c r="B19" s="128" t="s">
        <v>24</v>
      </c>
      <c r="C19" s="129"/>
    </row>
    <row r="20" spans="1:10" ht="48" customHeight="1" x14ac:dyDescent="0.25">
      <c r="B20" s="3" t="s">
        <v>25</v>
      </c>
      <c r="C20" s="1"/>
    </row>
    <row r="21" spans="1:10" ht="45" x14ac:dyDescent="0.25">
      <c r="B21" s="3" t="s">
        <v>26</v>
      </c>
      <c r="C21" s="1"/>
    </row>
  </sheetData>
  <mergeCells count="13">
    <mergeCell ref="A1:J1"/>
    <mergeCell ref="A2:J2"/>
    <mergeCell ref="A3:J3"/>
    <mergeCell ref="H5:H6"/>
    <mergeCell ref="I5:I6"/>
    <mergeCell ref="J5:J6"/>
    <mergeCell ref="B19:C19"/>
    <mergeCell ref="A17:D17"/>
    <mergeCell ref="E5:G5"/>
    <mergeCell ref="D5:D6"/>
    <mergeCell ref="C5:C6"/>
    <mergeCell ref="B5:B6"/>
    <mergeCell ref="A5:A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B5D74-DE75-4A47-A159-401B627F5011}">
  <dimension ref="A1:J21"/>
  <sheetViews>
    <sheetView tabSelected="1" topLeftCell="A6" workbookViewId="0">
      <selection activeCell="E17" sqref="E17:J17"/>
    </sheetView>
  </sheetViews>
  <sheetFormatPr defaultRowHeight="15" x14ac:dyDescent="0.25"/>
  <cols>
    <col min="1" max="1" width="5.28515625" customWidth="1"/>
    <col min="2" max="2" width="21.140625" customWidth="1"/>
    <col min="4" max="4" width="15.5703125" customWidth="1"/>
    <col min="5" max="5" width="16.7109375" customWidth="1"/>
    <col min="6" max="6" width="18.85546875" customWidth="1"/>
    <col min="7" max="7" width="18.7109375" customWidth="1"/>
    <col min="8" max="8" width="17.28515625" customWidth="1"/>
    <col min="9" max="9" width="20.28515625" customWidth="1"/>
    <col min="10" max="10" width="20.85546875" customWidth="1"/>
  </cols>
  <sheetData>
    <row r="1" spans="1:10" ht="18.75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8.75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30" x14ac:dyDescent="0.8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</row>
    <row r="5" spans="1:10" x14ac:dyDescent="0.25">
      <c r="A5" s="131" t="s">
        <v>11</v>
      </c>
      <c r="B5" s="131" t="s">
        <v>12</v>
      </c>
      <c r="C5" s="131" t="s">
        <v>13</v>
      </c>
      <c r="D5" s="131" t="s">
        <v>3</v>
      </c>
      <c r="E5" s="131" t="s">
        <v>4</v>
      </c>
      <c r="F5" s="131"/>
      <c r="G5" s="131"/>
      <c r="H5" s="131" t="s">
        <v>8</v>
      </c>
      <c r="I5" s="131" t="s">
        <v>9</v>
      </c>
      <c r="J5" s="131" t="s">
        <v>10</v>
      </c>
    </row>
    <row r="6" spans="1:10" ht="45" x14ac:dyDescent="0.25">
      <c r="A6" s="131"/>
      <c r="B6" s="131"/>
      <c r="C6" s="131"/>
      <c r="D6" s="131"/>
      <c r="E6" s="2" t="s">
        <v>5</v>
      </c>
      <c r="F6" s="2" t="s">
        <v>6</v>
      </c>
      <c r="G6" s="2" t="s">
        <v>7</v>
      </c>
      <c r="H6" s="131"/>
      <c r="I6" s="131"/>
      <c r="J6" s="131"/>
    </row>
    <row r="7" spans="1:10" x14ac:dyDescent="0.25">
      <c r="A7" s="1">
        <v>1</v>
      </c>
      <c r="B7" s="4" t="s">
        <v>14</v>
      </c>
      <c r="C7" s="1">
        <v>28</v>
      </c>
      <c r="D7" s="6">
        <v>4000000</v>
      </c>
      <c r="E7" s="8">
        <f>D7*7/100</f>
        <v>280000</v>
      </c>
      <c r="F7" s="8">
        <f>D7*20%</f>
        <v>800000</v>
      </c>
      <c r="G7" s="8">
        <f>C7*5000</f>
        <v>140000</v>
      </c>
      <c r="H7" s="6">
        <v>635000</v>
      </c>
      <c r="I7" s="8">
        <f>SUM(D7:G7)</f>
        <v>5220000</v>
      </c>
      <c r="J7" s="8">
        <f>SUM(I7-H7)</f>
        <v>4585000</v>
      </c>
    </row>
    <row r="8" spans="1:10" x14ac:dyDescent="0.25">
      <c r="A8" s="1">
        <v>2</v>
      </c>
      <c r="B8" s="4" t="s">
        <v>15</v>
      </c>
      <c r="C8" s="1">
        <v>24</v>
      </c>
      <c r="D8" s="6">
        <v>4500000</v>
      </c>
      <c r="E8" s="8">
        <f t="shared" ref="E8:E16" si="0">D8*7/100</f>
        <v>315000</v>
      </c>
      <c r="F8" s="8">
        <f t="shared" ref="F8:F16" si="1">D8*20%</f>
        <v>900000</v>
      </c>
      <c r="G8" s="8">
        <f t="shared" ref="G8:G16" si="2">C8*5000</f>
        <v>120000</v>
      </c>
      <c r="H8" s="6">
        <v>375000</v>
      </c>
      <c r="I8" s="8">
        <f t="shared" ref="I8:I16" si="3">SUM(D8:G8)</f>
        <v>5835000</v>
      </c>
      <c r="J8" s="8">
        <f t="shared" ref="J8:J16" si="4">SUM(I8-H8)</f>
        <v>5460000</v>
      </c>
    </row>
    <row r="9" spans="1:10" x14ac:dyDescent="0.25">
      <c r="A9" s="1">
        <v>3</v>
      </c>
      <c r="B9" s="4" t="s">
        <v>16</v>
      </c>
      <c r="C9" s="1">
        <v>27</v>
      </c>
      <c r="D9" s="6">
        <v>3750000</v>
      </c>
      <c r="E9" s="8">
        <f t="shared" si="0"/>
        <v>262500</v>
      </c>
      <c r="F9" s="8">
        <f t="shared" si="1"/>
        <v>750000</v>
      </c>
      <c r="G9" s="8">
        <f t="shared" si="2"/>
        <v>135000</v>
      </c>
      <c r="H9" s="6">
        <v>195000</v>
      </c>
      <c r="I9" s="8">
        <f t="shared" si="3"/>
        <v>4897500</v>
      </c>
      <c r="J9" s="8">
        <f t="shared" si="4"/>
        <v>4702500</v>
      </c>
    </row>
    <row r="10" spans="1:10" x14ac:dyDescent="0.25">
      <c r="A10" s="1">
        <v>4</v>
      </c>
      <c r="B10" s="4" t="s">
        <v>17</v>
      </c>
      <c r="C10" s="1">
        <v>28</v>
      </c>
      <c r="D10" s="6">
        <v>4000000</v>
      </c>
      <c r="E10" s="8">
        <f t="shared" si="0"/>
        <v>280000</v>
      </c>
      <c r="F10" s="8">
        <f t="shared" si="1"/>
        <v>800000</v>
      </c>
      <c r="G10" s="8">
        <f t="shared" si="2"/>
        <v>140000</v>
      </c>
      <c r="H10" s="6">
        <v>250000</v>
      </c>
      <c r="I10" s="8">
        <f t="shared" si="3"/>
        <v>5220000</v>
      </c>
      <c r="J10" s="8">
        <f t="shared" si="4"/>
        <v>4970000</v>
      </c>
    </row>
    <row r="11" spans="1:10" x14ac:dyDescent="0.25">
      <c r="A11" s="1">
        <v>5</v>
      </c>
      <c r="B11" s="4" t="s">
        <v>18</v>
      </c>
      <c r="C11" s="1">
        <v>25</v>
      </c>
      <c r="D11" s="6">
        <v>2700000</v>
      </c>
      <c r="E11" s="8">
        <f t="shared" si="0"/>
        <v>189000</v>
      </c>
      <c r="F11" s="8">
        <f t="shared" si="1"/>
        <v>540000</v>
      </c>
      <c r="G11" s="8">
        <f t="shared" si="2"/>
        <v>125000</v>
      </c>
      <c r="H11" s="6">
        <v>175000</v>
      </c>
      <c r="I11" s="8">
        <f t="shared" si="3"/>
        <v>3554000</v>
      </c>
      <c r="J11" s="8">
        <f t="shared" si="4"/>
        <v>3379000</v>
      </c>
    </row>
    <row r="12" spans="1:10" x14ac:dyDescent="0.25">
      <c r="A12" s="1">
        <v>6</v>
      </c>
      <c r="B12" s="4" t="s">
        <v>19</v>
      </c>
      <c r="C12" s="1">
        <v>26</v>
      </c>
      <c r="D12" s="6">
        <v>2600000</v>
      </c>
      <c r="E12" s="8">
        <f t="shared" si="0"/>
        <v>182000</v>
      </c>
      <c r="F12" s="8">
        <f t="shared" si="1"/>
        <v>520000</v>
      </c>
      <c r="G12" s="8">
        <f t="shared" si="2"/>
        <v>130000</v>
      </c>
      <c r="H12" s="6">
        <v>220000</v>
      </c>
      <c r="I12" s="8">
        <f t="shared" si="3"/>
        <v>3432000</v>
      </c>
      <c r="J12" s="8">
        <f t="shared" si="4"/>
        <v>3212000</v>
      </c>
    </row>
    <row r="13" spans="1:10" x14ac:dyDescent="0.25">
      <c r="A13" s="1">
        <v>7</v>
      </c>
      <c r="B13" s="4" t="s">
        <v>20</v>
      </c>
      <c r="C13" s="1">
        <v>27</v>
      </c>
      <c r="D13" s="6">
        <v>2450000</v>
      </c>
      <c r="E13" s="8">
        <f t="shared" si="0"/>
        <v>171500</v>
      </c>
      <c r="F13" s="8">
        <f t="shared" si="1"/>
        <v>490000</v>
      </c>
      <c r="G13" s="8">
        <f t="shared" si="2"/>
        <v>135000</v>
      </c>
      <c r="H13" s="6">
        <v>175000</v>
      </c>
      <c r="I13" s="8">
        <f t="shared" si="3"/>
        <v>3246500</v>
      </c>
      <c r="J13" s="8">
        <f t="shared" si="4"/>
        <v>3071500</v>
      </c>
    </row>
    <row r="14" spans="1:10" x14ac:dyDescent="0.25">
      <c r="A14" s="1">
        <v>8</v>
      </c>
      <c r="B14" s="4" t="s">
        <v>21</v>
      </c>
      <c r="C14" s="1">
        <v>25</v>
      </c>
      <c r="D14" s="6">
        <v>2250000</v>
      </c>
      <c r="E14" s="8">
        <f t="shared" si="0"/>
        <v>157500</v>
      </c>
      <c r="F14" s="8">
        <f t="shared" si="1"/>
        <v>450000</v>
      </c>
      <c r="G14" s="8">
        <f t="shared" si="2"/>
        <v>125000</v>
      </c>
      <c r="H14" s="6">
        <v>350000</v>
      </c>
      <c r="I14" s="8">
        <f t="shared" si="3"/>
        <v>2982500</v>
      </c>
      <c r="J14" s="8">
        <f t="shared" si="4"/>
        <v>2632500</v>
      </c>
    </row>
    <row r="15" spans="1:10" x14ac:dyDescent="0.25">
      <c r="A15" s="1">
        <v>9</v>
      </c>
      <c r="B15" s="4" t="s">
        <v>22</v>
      </c>
      <c r="C15" s="1">
        <v>24</v>
      </c>
      <c r="D15" s="6">
        <v>2150000</v>
      </c>
      <c r="E15" s="8">
        <f t="shared" si="0"/>
        <v>150500</v>
      </c>
      <c r="F15" s="8">
        <f t="shared" si="1"/>
        <v>430000</v>
      </c>
      <c r="G15" s="8">
        <f t="shared" si="2"/>
        <v>120000</v>
      </c>
      <c r="H15" s="6">
        <v>455000</v>
      </c>
      <c r="I15" s="8">
        <f t="shared" si="3"/>
        <v>2850500</v>
      </c>
      <c r="J15" s="8">
        <f t="shared" si="4"/>
        <v>2395500</v>
      </c>
    </row>
    <row r="16" spans="1:10" x14ac:dyDescent="0.25">
      <c r="A16" s="1">
        <v>10</v>
      </c>
      <c r="B16" s="4" t="s">
        <v>23</v>
      </c>
      <c r="C16" s="1">
        <v>23</v>
      </c>
      <c r="D16" s="7">
        <v>4000000</v>
      </c>
      <c r="E16" s="8">
        <f t="shared" si="0"/>
        <v>280000</v>
      </c>
      <c r="F16" s="8">
        <f t="shared" si="1"/>
        <v>800000</v>
      </c>
      <c r="G16" s="8">
        <f t="shared" si="2"/>
        <v>115000</v>
      </c>
      <c r="H16" s="8">
        <v>155000</v>
      </c>
      <c r="I16" s="8">
        <f t="shared" si="3"/>
        <v>5195000</v>
      </c>
      <c r="J16" s="8">
        <f t="shared" si="4"/>
        <v>5040000</v>
      </c>
    </row>
    <row r="17" spans="1:10" x14ac:dyDescent="0.25">
      <c r="A17" s="128" t="s">
        <v>27</v>
      </c>
      <c r="B17" s="130"/>
      <c r="C17" s="130"/>
      <c r="D17" s="129"/>
      <c r="E17" s="12">
        <f>SUM(E7:E16)</f>
        <v>2268000</v>
      </c>
      <c r="F17" s="12">
        <f t="shared" ref="F17:J17" si="5">SUM(F7:F16)</f>
        <v>6480000</v>
      </c>
      <c r="G17" s="12">
        <f t="shared" si="5"/>
        <v>1285000</v>
      </c>
      <c r="H17" s="12">
        <f t="shared" si="5"/>
        <v>2985000</v>
      </c>
      <c r="I17" s="12">
        <f t="shared" si="5"/>
        <v>42433000</v>
      </c>
      <c r="J17" s="12">
        <f t="shared" si="5"/>
        <v>39448000</v>
      </c>
    </row>
    <row r="19" spans="1:10" x14ac:dyDescent="0.25">
      <c r="B19" s="128" t="s">
        <v>24</v>
      </c>
      <c r="C19" s="129"/>
    </row>
    <row r="20" spans="1:10" ht="90" x14ac:dyDescent="0.25">
      <c r="B20" s="3" t="s">
        <v>25</v>
      </c>
      <c r="C20" s="1">
        <f>COUNTIFS(J7:J16,"&gt;3000000")</f>
        <v>8</v>
      </c>
    </row>
    <row r="21" spans="1:10" ht="105" x14ac:dyDescent="0.25">
      <c r="B21" s="3" t="s">
        <v>26</v>
      </c>
      <c r="C21" s="1">
        <f>COUNTIFS(J8:J17,"&gt;4000000")</f>
        <v>5</v>
      </c>
    </row>
  </sheetData>
  <mergeCells count="13">
    <mergeCell ref="J5:J6"/>
    <mergeCell ref="A17:D17"/>
    <mergeCell ref="B19:C19"/>
    <mergeCell ref="A1:J1"/>
    <mergeCell ref="A2:J2"/>
    <mergeCell ref="A3:J3"/>
    <mergeCell ref="A5:A6"/>
    <mergeCell ref="B5:B6"/>
    <mergeCell ref="C5:C6"/>
    <mergeCell ref="D5:D6"/>
    <mergeCell ref="E5:G5"/>
    <mergeCell ref="H5:H6"/>
    <mergeCell ref="I5:I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topLeftCell="A4" zoomScaleNormal="100" workbookViewId="0">
      <selection activeCell="C20" sqref="C20"/>
    </sheetView>
  </sheetViews>
  <sheetFormatPr defaultRowHeight="15" x14ac:dyDescent="0.25"/>
  <cols>
    <col min="1" max="1" width="5.5703125" customWidth="1"/>
    <col min="2" max="2" width="20.85546875" customWidth="1"/>
    <col min="3" max="3" width="10.7109375" customWidth="1"/>
    <col min="4" max="4" width="17.5703125" customWidth="1"/>
    <col min="5" max="8" width="15.5703125" bestFit="1" customWidth="1"/>
    <col min="9" max="10" width="16.5703125" bestFit="1" customWidth="1"/>
  </cols>
  <sheetData>
    <row r="1" spans="1:10" ht="18.75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8.75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30" x14ac:dyDescent="0.8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</row>
    <row r="5" spans="1:10" x14ac:dyDescent="0.25">
      <c r="A5" s="131" t="s">
        <v>11</v>
      </c>
      <c r="B5" s="131" t="s">
        <v>12</v>
      </c>
      <c r="C5" s="131" t="s">
        <v>13</v>
      </c>
      <c r="D5" s="131" t="s">
        <v>3</v>
      </c>
      <c r="E5" s="131" t="s">
        <v>4</v>
      </c>
      <c r="F5" s="131"/>
      <c r="G5" s="131"/>
      <c r="H5" s="131" t="s">
        <v>8</v>
      </c>
      <c r="I5" s="131" t="s">
        <v>9</v>
      </c>
      <c r="J5" s="131" t="s">
        <v>10</v>
      </c>
    </row>
    <row r="6" spans="1:10" ht="30" x14ac:dyDescent="0.25">
      <c r="A6" s="131"/>
      <c r="B6" s="131"/>
      <c r="C6" s="131"/>
      <c r="D6" s="131"/>
      <c r="E6" s="2" t="s">
        <v>5</v>
      </c>
      <c r="F6" s="2" t="s">
        <v>6</v>
      </c>
      <c r="G6" s="2" t="s">
        <v>7</v>
      </c>
      <c r="H6" s="131"/>
      <c r="I6" s="131"/>
      <c r="J6" s="131"/>
    </row>
    <row r="7" spans="1:10" x14ac:dyDescent="0.25">
      <c r="A7" s="1">
        <v>1</v>
      </c>
      <c r="B7" s="4" t="s">
        <v>14</v>
      </c>
      <c r="C7" s="1">
        <v>28</v>
      </c>
      <c r="D7" s="6">
        <v>4000000</v>
      </c>
      <c r="E7" s="5">
        <f>7%*D7</f>
        <v>280000</v>
      </c>
      <c r="F7" s="5">
        <f>20%*D7</f>
        <v>800000</v>
      </c>
      <c r="G7" s="5">
        <f>C7*5000</f>
        <v>140000</v>
      </c>
      <c r="H7" s="6">
        <v>635000</v>
      </c>
      <c r="I7" s="5">
        <f>D7+E7+F7+G7</f>
        <v>5220000</v>
      </c>
      <c r="J7" s="5">
        <f>I7-H7</f>
        <v>4585000</v>
      </c>
    </row>
    <row r="8" spans="1:10" x14ac:dyDescent="0.25">
      <c r="A8" s="1">
        <v>2</v>
      </c>
      <c r="B8" s="4" t="s">
        <v>15</v>
      </c>
      <c r="C8" s="1">
        <v>24</v>
      </c>
      <c r="D8" s="6">
        <v>4500000</v>
      </c>
      <c r="E8" s="5">
        <f t="shared" ref="E8:E16" si="0">7%*D8</f>
        <v>315000.00000000006</v>
      </c>
      <c r="F8" s="5">
        <f t="shared" ref="F8:F16" si="1">20%*D8</f>
        <v>900000</v>
      </c>
      <c r="G8" s="5">
        <f t="shared" ref="G8:G16" si="2">C8*5000</f>
        <v>120000</v>
      </c>
      <c r="H8" s="6">
        <v>375000</v>
      </c>
      <c r="I8" s="5">
        <f t="shared" ref="I8:I16" si="3">D8+E8+F8+G8</f>
        <v>5835000</v>
      </c>
      <c r="J8" s="5">
        <f t="shared" ref="J8:J16" si="4">I8-H8</f>
        <v>5460000</v>
      </c>
    </row>
    <row r="9" spans="1:10" x14ac:dyDescent="0.25">
      <c r="A9" s="1">
        <v>3</v>
      </c>
      <c r="B9" s="4" t="s">
        <v>16</v>
      </c>
      <c r="C9" s="1">
        <v>27</v>
      </c>
      <c r="D9" s="6">
        <v>3750000</v>
      </c>
      <c r="E9" s="5">
        <f t="shared" si="0"/>
        <v>262500</v>
      </c>
      <c r="F9" s="5">
        <f t="shared" si="1"/>
        <v>750000</v>
      </c>
      <c r="G9" s="5">
        <f t="shared" si="2"/>
        <v>135000</v>
      </c>
      <c r="H9" s="6">
        <v>195000</v>
      </c>
      <c r="I9" s="5">
        <f t="shared" si="3"/>
        <v>4897500</v>
      </c>
      <c r="J9" s="5">
        <f t="shared" si="4"/>
        <v>4702500</v>
      </c>
    </row>
    <row r="10" spans="1:10" x14ac:dyDescent="0.25">
      <c r="A10" s="1">
        <v>4</v>
      </c>
      <c r="B10" s="4" t="s">
        <v>17</v>
      </c>
      <c r="C10" s="1">
        <v>28</v>
      </c>
      <c r="D10" s="6">
        <v>4000000</v>
      </c>
      <c r="E10" s="5">
        <f t="shared" si="0"/>
        <v>280000</v>
      </c>
      <c r="F10" s="5">
        <f t="shared" si="1"/>
        <v>800000</v>
      </c>
      <c r="G10" s="5">
        <f t="shared" si="2"/>
        <v>140000</v>
      </c>
      <c r="H10" s="6">
        <v>250000</v>
      </c>
      <c r="I10" s="5">
        <f t="shared" si="3"/>
        <v>5220000</v>
      </c>
      <c r="J10" s="5">
        <f t="shared" si="4"/>
        <v>4970000</v>
      </c>
    </row>
    <row r="11" spans="1:10" x14ac:dyDescent="0.25">
      <c r="A11" s="1">
        <v>5</v>
      </c>
      <c r="B11" s="4" t="s">
        <v>18</v>
      </c>
      <c r="C11" s="1">
        <v>25</v>
      </c>
      <c r="D11" s="6">
        <v>2700000</v>
      </c>
      <c r="E11" s="5">
        <f t="shared" si="0"/>
        <v>189000.00000000003</v>
      </c>
      <c r="F11" s="5">
        <f t="shared" si="1"/>
        <v>540000</v>
      </c>
      <c r="G11" s="5">
        <f t="shared" si="2"/>
        <v>125000</v>
      </c>
      <c r="H11" s="6">
        <v>175000</v>
      </c>
      <c r="I11" s="5">
        <f t="shared" si="3"/>
        <v>3554000</v>
      </c>
      <c r="J11" s="5">
        <f t="shared" si="4"/>
        <v>3379000</v>
      </c>
    </row>
    <row r="12" spans="1:10" x14ac:dyDescent="0.25">
      <c r="A12" s="1">
        <v>6</v>
      </c>
      <c r="B12" s="4" t="s">
        <v>19</v>
      </c>
      <c r="C12" s="1">
        <v>26</v>
      </c>
      <c r="D12" s="6">
        <v>2600000</v>
      </c>
      <c r="E12" s="5">
        <f t="shared" si="0"/>
        <v>182000.00000000003</v>
      </c>
      <c r="F12" s="5">
        <f t="shared" si="1"/>
        <v>520000</v>
      </c>
      <c r="G12" s="5">
        <f t="shared" si="2"/>
        <v>130000</v>
      </c>
      <c r="H12" s="6">
        <v>220000</v>
      </c>
      <c r="I12" s="5">
        <f t="shared" si="3"/>
        <v>3432000</v>
      </c>
      <c r="J12" s="5">
        <f t="shared" si="4"/>
        <v>3212000</v>
      </c>
    </row>
    <row r="13" spans="1:10" x14ac:dyDescent="0.25">
      <c r="A13" s="1">
        <v>7</v>
      </c>
      <c r="B13" s="4" t="s">
        <v>20</v>
      </c>
      <c r="C13" s="1">
        <v>27</v>
      </c>
      <c r="D13" s="6">
        <v>2450000</v>
      </c>
      <c r="E13" s="5">
        <f t="shared" si="0"/>
        <v>171500.00000000003</v>
      </c>
      <c r="F13" s="5">
        <f t="shared" si="1"/>
        <v>490000</v>
      </c>
      <c r="G13" s="5">
        <f t="shared" si="2"/>
        <v>135000</v>
      </c>
      <c r="H13" s="6">
        <v>175000</v>
      </c>
      <c r="I13" s="5">
        <f t="shared" si="3"/>
        <v>3246500</v>
      </c>
      <c r="J13" s="5">
        <f t="shared" si="4"/>
        <v>3071500</v>
      </c>
    </row>
    <row r="14" spans="1:10" x14ac:dyDescent="0.25">
      <c r="A14" s="1">
        <v>8</v>
      </c>
      <c r="B14" s="4" t="s">
        <v>21</v>
      </c>
      <c r="C14" s="1">
        <v>25</v>
      </c>
      <c r="D14" s="6">
        <v>2250000</v>
      </c>
      <c r="E14" s="5">
        <f t="shared" si="0"/>
        <v>157500.00000000003</v>
      </c>
      <c r="F14" s="5">
        <f t="shared" si="1"/>
        <v>450000</v>
      </c>
      <c r="G14" s="5">
        <f t="shared" si="2"/>
        <v>125000</v>
      </c>
      <c r="H14" s="6">
        <v>350000</v>
      </c>
      <c r="I14" s="5">
        <f t="shared" si="3"/>
        <v>2982500</v>
      </c>
      <c r="J14" s="5">
        <f t="shared" si="4"/>
        <v>2632500</v>
      </c>
    </row>
    <row r="15" spans="1:10" x14ac:dyDescent="0.25">
      <c r="A15" s="1">
        <v>9</v>
      </c>
      <c r="B15" s="4" t="s">
        <v>22</v>
      </c>
      <c r="C15" s="1">
        <v>24</v>
      </c>
      <c r="D15" s="6">
        <v>2150000</v>
      </c>
      <c r="E15" s="5">
        <f t="shared" si="0"/>
        <v>150500</v>
      </c>
      <c r="F15" s="5">
        <f t="shared" si="1"/>
        <v>430000</v>
      </c>
      <c r="G15" s="5">
        <f t="shared" si="2"/>
        <v>120000</v>
      </c>
      <c r="H15" s="6">
        <v>455000</v>
      </c>
      <c r="I15" s="5">
        <f t="shared" si="3"/>
        <v>2850500</v>
      </c>
      <c r="J15" s="5">
        <f t="shared" si="4"/>
        <v>2395500</v>
      </c>
    </row>
    <row r="16" spans="1:10" x14ac:dyDescent="0.25">
      <c r="A16" s="1">
        <v>10</v>
      </c>
      <c r="B16" s="4" t="s">
        <v>23</v>
      </c>
      <c r="C16" s="1">
        <v>23</v>
      </c>
      <c r="D16" s="7">
        <v>4000000</v>
      </c>
      <c r="E16" s="5">
        <f t="shared" si="0"/>
        <v>280000</v>
      </c>
      <c r="F16" s="5">
        <f t="shared" si="1"/>
        <v>800000</v>
      </c>
      <c r="G16" s="5">
        <f t="shared" si="2"/>
        <v>115000</v>
      </c>
      <c r="H16" s="8">
        <v>155000</v>
      </c>
      <c r="I16" s="5">
        <f t="shared" si="3"/>
        <v>5195000</v>
      </c>
      <c r="J16" s="5">
        <f t="shared" si="4"/>
        <v>5040000</v>
      </c>
    </row>
    <row r="17" spans="1:10" x14ac:dyDescent="0.25">
      <c r="A17" s="128" t="s">
        <v>27</v>
      </c>
      <c r="B17" s="130"/>
      <c r="C17" s="130"/>
      <c r="D17" s="129"/>
      <c r="E17" s="9">
        <f>SUM(E7:E16)</f>
        <v>2268000</v>
      </c>
      <c r="F17" s="9">
        <f t="shared" ref="F17:J17" si="5">SUM(F7:F16)</f>
        <v>6480000</v>
      </c>
      <c r="G17" s="9">
        <f t="shared" si="5"/>
        <v>1285000</v>
      </c>
      <c r="H17" s="9">
        <f t="shared" si="5"/>
        <v>2985000</v>
      </c>
      <c r="I17" s="9">
        <f t="shared" si="5"/>
        <v>42433000</v>
      </c>
      <c r="J17" s="9">
        <f t="shared" si="5"/>
        <v>39448000</v>
      </c>
    </row>
    <row r="19" spans="1:10" x14ac:dyDescent="0.25">
      <c r="B19" s="128" t="s">
        <v>24</v>
      </c>
      <c r="C19" s="129"/>
    </row>
    <row r="20" spans="1:10" ht="48" customHeight="1" x14ac:dyDescent="0.25">
      <c r="B20" s="3" t="s">
        <v>25</v>
      </c>
      <c r="C20" s="10">
        <f>COUNTIF(J7:J16,"&gt;3000000")</f>
        <v>8</v>
      </c>
    </row>
    <row r="21" spans="1:10" ht="45" x14ac:dyDescent="0.25">
      <c r="B21" s="3" t="s">
        <v>26</v>
      </c>
      <c r="C21" s="10">
        <f>COUNTIF(D7:D16,4000000)</f>
        <v>3</v>
      </c>
    </row>
  </sheetData>
  <sheetProtection algorithmName="SHA-512" hashValue="r1/q/Fi92OI01GnrbmQl1DbXfmbwsZm9+TxeHCQo1poDncIYdbc51klQ8ZySet6UC2prx/Px3yaZetC/e7fK0g==" saltValue="pP7Rdx0HkWNusnUXxLEPpA==" spinCount="100000" sheet="1" objects="1" scenarios="1"/>
  <mergeCells count="13">
    <mergeCell ref="J5:J6"/>
    <mergeCell ref="A17:D17"/>
    <mergeCell ref="B19:C19"/>
    <mergeCell ref="A1:J1"/>
    <mergeCell ref="A2:J2"/>
    <mergeCell ref="A3:J3"/>
    <mergeCell ref="A5:A6"/>
    <mergeCell ref="B5:B6"/>
    <mergeCell ref="C5:C6"/>
    <mergeCell ref="D5:D6"/>
    <mergeCell ref="E5:G5"/>
    <mergeCell ref="H5:H6"/>
    <mergeCell ref="I5:I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807EC-CD65-409C-A4E6-200BC96D9F21}">
  <dimension ref="A1:M44"/>
  <sheetViews>
    <sheetView showGridLines="0" topLeftCell="A22" workbookViewId="0">
      <selection activeCell="K28" sqref="K28"/>
    </sheetView>
  </sheetViews>
  <sheetFormatPr defaultColWidth="9.140625" defaultRowHeight="12.75" x14ac:dyDescent="0.2"/>
  <cols>
    <col min="1" max="1" width="5.140625" style="56" customWidth="1"/>
    <col min="2" max="2" width="15.28515625" style="56" customWidth="1"/>
    <col min="3" max="3" width="9.5703125" style="56" customWidth="1"/>
    <col min="4" max="4" width="8.85546875" style="56" customWidth="1"/>
    <col min="5" max="5" width="11.28515625" style="56" customWidth="1"/>
    <col min="6" max="6" width="12.140625" style="56" customWidth="1"/>
    <col min="7" max="7" width="14.5703125" style="56" customWidth="1"/>
    <col min="8" max="8" width="11" style="56" customWidth="1"/>
    <col min="9" max="9" width="12.5703125" style="56" customWidth="1"/>
    <col min="10" max="10" width="9.140625" style="56"/>
    <col min="11" max="11" width="14.7109375" style="56" bestFit="1" customWidth="1"/>
    <col min="12" max="12" width="18.5703125" style="56" bestFit="1" customWidth="1"/>
    <col min="13" max="13" width="11" style="56" bestFit="1" customWidth="1"/>
    <col min="14" max="16384" width="9.140625" style="56"/>
  </cols>
  <sheetData>
    <row r="1" spans="1:9" ht="15" x14ac:dyDescent="0.25">
      <c r="A1" s="135" t="s">
        <v>246</v>
      </c>
      <c r="B1" s="135"/>
      <c r="C1" s="135"/>
      <c r="D1" s="135"/>
      <c r="E1" s="135"/>
      <c r="F1" s="135"/>
      <c r="G1" s="135"/>
      <c r="H1" s="135"/>
      <c r="I1" s="135"/>
    </row>
    <row r="2" spans="1:9" ht="15" x14ac:dyDescent="0.25">
      <c r="A2" s="135" t="s">
        <v>247</v>
      </c>
      <c r="B2" s="135"/>
      <c r="C2" s="135"/>
      <c r="D2" s="135"/>
      <c r="E2" s="135"/>
      <c r="F2" s="135"/>
      <c r="G2" s="135"/>
      <c r="H2" s="135"/>
      <c r="I2" s="135"/>
    </row>
    <row r="3" spans="1:9" ht="12.75" customHeight="1" x14ac:dyDescent="0.2">
      <c r="A3" s="136" t="s">
        <v>248</v>
      </c>
      <c r="B3" s="136"/>
      <c r="C3" s="136"/>
      <c r="D3" s="136"/>
      <c r="E3" s="136"/>
      <c r="F3" s="136"/>
      <c r="G3" s="136"/>
      <c r="H3" s="136"/>
      <c r="I3" s="136"/>
    </row>
    <row r="4" spans="1:9" ht="14.25" x14ac:dyDescent="0.2">
      <c r="A4" s="136" t="s">
        <v>249</v>
      </c>
      <c r="B4" s="136"/>
      <c r="C4" s="136"/>
      <c r="D4" s="136"/>
      <c r="E4" s="136"/>
      <c r="F4" s="136"/>
      <c r="G4" s="136"/>
      <c r="H4" s="136"/>
      <c r="I4" s="136"/>
    </row>
    <row r="5" spans="1:9" ht="16.5" thickBot="1" x14ac:dyDescent="0.3">
      <c r="A5" s="134" t="s">
        <v>250</v>
      </c>
      <c r="B5" s="134"/>
      <c r="C5" s="134"/>
      <c r="D5" s="134"/>
      <c r="E5" s="134"/>
      <c r="F5" s="134"/>
      <c r="G5" s="134"/>
      <c r="H5" s="134"/>
      <c r="I5" s="134"/>
    </row>
    <row r="6" spans="1:9" ht="13.5" thickTop="1" x14ac:dyDescent="0.2">
      <c r="A6" s="57"/>
      <c r="B6" s="57"/>
      <c r="C6" s="57"/>
      <c r="D6" s="57"/>
      <c r="E6" s="57"/>
      <c r="F6" s="57"/>
      <c r="G6" s="57"/>
      <c r="H6" s="57"/>
      <c r="I6" s="57"/>
    </row>
    <row r="7" spans="1:9" ht="15.75" x14ac:dyDescent="0.25">
      <c r="A7" s="134" t="s">
        <v>251</v>
      </c>
      <c r="B7" s="134"/>
      <c r="C7" s="134"/>
      <c r="D7" s="134"/>
      <c r="E7" s="134"/>
      <c r="F7" s="134"/>
      <c r="G7" s="134"/>
      <c r="H7" s="134"/>
      <c r="I7" s="134"/>
    </row>
    <row r="8" spans="1:9" ht="15.75" x14ac:dyDescent="0.25">
      <c r="A8" s="134" t="s">
        <v>252</v>
      </c>
      <c r="B8" s="134"/>
      <c r="C8" s="134"/>
      <c r="D8" s="134"/>
      <c r="E8" s="134"/>
      <c r="F8" s="134"/>
      <c r="G8" s="134"/>
      <c r="H8" s="134"/>
      <c r="I8" s="134"/>
    </row>
    <row r="9" spans="1:9" ht="15.75" x14ac:dyDescent="0.25">
      <c r="A9" s="134"/>
      <c r="B9" s="134"/>
      <c r="C9" s="134"/>
      <c r="D9" s="134"/>
      <c r="E9" s="134"/>
      <c r="F9" s="134"/>
      <c r="G9" s="134"/>
      <c r="H9" s="134"/>
      <c r="I9" s="134"/>
    </row>
    <row r="12" spans="1:9" ht="15.75" x14ac:dyDescent="0.25">
      <c r="A12" s="58" t="s">
        <v>253</v>
      </c>
    </row>
    <row r="13" spans="1:9" ht="15.75" x14ac:dyDescent="0.25">
      <c r="A13" s="58" t="s">
        <v>254</v>
      </c>
    </row>
    <row r="14" spans="1:9" ht="15.75" x14ac:dyDescent="0.25">
      <c r="A14" s="58" t="s">
        <v>255</v>
      </c>
    </row>
    <row r="15" spans="1:9" ht="15.75" x14ac:dyDescent="0.25">
      <c r="A15" s="58" t="s">
        <v>256</v>
      </c>
    </row>
    <row r="16" spans="1:9" ht="15.75" x14ac:dyDescent="0.25">
      <c r="A16" s="58" t="s">
        <v>257</v>
      </c>
    </row>
    <row r="17" spans="1:13" ht="15.75" x14ac:dyDescent="0.25">
      <c r="A17" s="58"/>
    </row>
    <row r="18" spans="1:13" ht="14.25" x14ac:dyDescent="0.2">
      <c r="A18" s="59" t="s">
        <v>258</v>
      </c>
      <c r="G18" s="59" t="s">
        <v>259</v>
      </c>
    </row>
    <row r="19" spans="1:13" ht="15.75" x14ac:dyDescent="0.25">
      <c r="A19" s="58"/>
      <c r="H19" s="60"/>
    </row>
    <row r="20" spans="1:13" ht="13.5" thickBot="1" x14ac:dyDescent="0.25">
      <c r="H20" s="60"/>
    </row>
    <row r="21" spans="1:13" ht="19.5" thickTop="1" x14ac:dyDescent="0.3">
      <c r="A21" s="58"/>
      <c r="B21" s="144" t="s">
        <v>260</v>
      </c>
      <c r="C21" s="145"/>
      <c r="D21" s="146"/>
      <c r="E21" s="61"/>
      <c r="F21" s="61"/>
      <c r="G21" s="58"/>
      <c r="H21" s="58"/>
      <c r="I21" s="58"/>
      <c r="J21" s="58"/>
      <c r="K21" s="58"/>
    </row>
    <row r="22" spans="1:13" ht="24.75" customHeight="1" thickBot="1" x14ac:dyDescent="0.55000000000000004">
      <c r="A22" s="58"/>
      <c r="B22" s="147" t="s">
        <v>261</v>
      </c>
      <c r="C22" s="148"/>
      <c r="D22" s="149"/>
      <c r="E22" s="62"/>
      <c r="F22" s="62"/>
      <c r="G22" s="58"/>
      <c r="H22" s="58"/>
      <c r="I22" s="58"/>
      <c r="J22" s="58"/>
      <c r="K22" s="58"/>
    </row>
    <row r="23" spans="1:13" ht="13.5" customHeight="1" thickTop="1" x14ac:dyDescent="0.5">
      <c r="A23" s="58"/>
      <c r="B23" s="62"/>
      <c r="C23" s="62"/>
      <c r="D23" s="62"/>
      <c r="E23" s="62"/>
      <c r="F23" s="62"/>
      <c r="G23" s="58"/>
      <c r="H23" s="58"/>
      <c r="I23" s="58"/>
      <c r="J23" s="58"/>
      <c r="K23" s="58"/>
    </row>
    <row r="24" spans="1:13" ht="21.75" customHeight="1" thickBot="1" x14ac:dyDescent="0.45">
      <c r="A24" s="150" t="s">
        <v>262</v>
      </c>
      <c r="B24" s="150"/>
      <c r="C24" s="150"/>
      <c r="D24" s="150"/>
      <c r="E24" s="150"/>
      <c r="F24" s="150"/>
      <c r="G24" s="150"/>
      <c r="H24" s="150"/>
      <c r="I24" s="150"/>
      <c r="J24" s="58"/>
      <c r="K24" s="58"/>
    </row>
    <row r="25" spans="1:13" ht="16.5" thickTop="1" x14ac:dyDescent="0.25">
      <c r="A25" s="151" t="s">
        <v>263</v>
      </c>
      <c r="B25" s="153" t="s">
        <v>264</v>
      </c>
      <c r="C25" s="63" t="s">
        <v>265</v>
      </c>
      <c r="D25" s="63" t="s">
        <v>266</v>
      </c>
      <c r="E25" s="63" t="s">
        <v>265</v>
      </c>
      <c r="F25" s="63" t="s">
        <v>267</v>
      </c>
      <c r="G25" s="63" t="s">
        <v>268</v>
      </c>
      <c r="H25" s="151" t="s">
        <v>269</v>
      </c>
      <c r="I25" s="63" t="s">
        <v>270</v>
      </c>
      <c r="J25" s="58"/>
      <c r="K25" s="58"/>
      <c r="L25" s="58"/>
      <c r="M25" s="58"/>
    </row>
    <row r="26" spans="1:13" ht="15.75" x14ac:dyDescent="0.25">
      <c r="A26" s="152"/>
      <c r="B26" s="154"/>
      <c r="C26" s="64" t="s">
        <v>271</v>
      </c>
      <c r="D26" s="64" t="s">
        <v>272</v>
      </c>
      <c r="E26" s="64" t="s">
        <v>273</v>
      </c>
      <c r="F26" s="64" t="s">
        <v>274</v>
      </c>
      <c r="G26" s="64" t="s">
        <v>275</v>
      </c>
      <c r="H26" s="152"/>
      <c r="I26" s="64" t="s">
        <v>276</v>
      </c>
      <c r="J26" s="58"/>
      <c r="K26" s="58"/>
    </row>
    <row r="27" spans="1:13" ht="15.75" x14ac:dyDescent="0.25">
      <c r="A27" s="65">
        <v>210</v>
      </c>
      <c r="B27" s="65" t="s">
        <v>279</v>
      </c>
      <c r="C27" s="66" t="s">
        <v>280</v>
      </c>
      <c r="D27" s="66">
        <v>2</v>
      </c>
      <c r="E27" s="66"/>
      <c r="F27" s="67"/>
      <c r="G27" s="68"/>
      <c r="H27" s="69"/>
      <c r="I27" s="69"/>
      <c r="J27" s="58"/>
      <c r="K27" s="70"/>
      <c r="L27" s="70"/>
      <c r="M27" s="70"/>
    </row>
    <row r="28" spans="1:13" ht="15.75" x14ac:dyDescent="0.25">
      <c r="A28" s="65">
        <v>211</v>
      </c>
      <c r="B28" s="65" t="s">
        <v>285</v>
      </c>
      <c r="C28" s="66" t="s">
        <v>283</v>
      </c>
      <c r="D28" s="66">
        <v>4</v>
      </c>
      <c r="E28" s="66"/>
      <c r="F28" s="67"/>
      <c r="G28" s="68"/>
      <c r="H28" s="69"/>
      <c r="I28" s="69"/>
      <c r="J28" s="58"/>
      <c r="K28" s="58"/>
      <c r="L28" s="71"/>
      <c r="M28" s="72"/>
    </row>
    <row r="29" spans="1:13" ht="15.75" x14ac:dyDescent="0.25">
      <c r="A29" s="65">
        <v>212</v>
      </c>
      <c r="B29" s="65" t="s">
        <v>284</v>
      </c>
      <c r="C29" s="66" t="s">
        <v>278</v>
      </c>
      <c r="D29" s="66">
        <v>6</v>
      </c>
      <c r="E29" s="66"/>
      <c r="F29" s="67"/>
      <c r="G29" s="68"/>
      <c r="H29" s="69"/>
      <c r="I29" s="69"/>
      <c r="J29" s="58"/>
      <c r="K29" s="58"/>
      <c r="L29" s="71"/>
      <c r="M29" s="72"/>
    </row>
    <row r="30" spans="1:13" ht="15.75" x14ac:dyDescent="0.25">
      <c r="A30" s="65">
        <v>213</v>
      </c>
      <c r="B30" s="65" t="s">
        <v>281</v>
      </c>
      <c r="C30" s="66" t="s">
        <v>280</v>
      </c>
      <c r="D30" s="66">
        <v>8</v>
      </c>
      <c r="E30" s="66"/>
      <c r="F30" s="67"/>
      <c r="G30" s="68"/>
      <c r="H30" s="69"/>
      <c r="I30" s="69"/>
      <c r="J30" s="58"/>
      <c r="K30" s="58"/>
      <c r="L30" s="71"/>
      <c r="M30" s="72"/>
    </row>
    <row r="31" spans="1:13" ht="15.75" x14ac:dyDescent="0.25">
      <c r="A31" s="65">
        <v>214</v>
      </c>
      <c r="B31" s="65" t="s">
        <v>277</v>
      </c>
      <c r="C31" s="66" t="s">
        <v>278</v>
      </c>
      <c r="D31" s="66">
        <v>10</v>
      </c>
      <c r="E31" s="66"/>
      <c r="F31" s="67"/>
      <c r="G31" s="68"/>
      <c r="H31" s="69"/>
      <c r="I31" s="69"/>
      <c r="J31" s="58"/>
      <c r="K31" s="58"/>
    </row>
    <row r="32" spans="1:13" ht="15.75" x14ac:dyDescent="0.25">
      <c r="A32" s="65">
        <v>215</v>
      </c>
      <c r="B32" s="65" t="s">
        <v>282</v>
      </c>
      <c r="C32" s="66" t="s">
        <v>283</v>
      </c>
      <c r="D32" s="66">
        <v>12</v>
      </c>
      <c r="E32" s="66"/>
      <c r="F32" s="67"/>
      <c r="G32" s="68"/>
      <c r="H32" s="69"/>
      <c r="I32" s="69"/>
      <c r="J32" s="58"/>
      <c r="K32" s="58"/>
    </row>
    <row r="33" spans="1:11" ht="16.5" thickBot="1" x14ac:dyDescent="0.3">
      <c r="A33" s="73"/>
      <c r="B33" s="73"/>
      <c r="C33" s="137" t="s">
        <v>286</v>
      </c>
      <c r="D33" s="138"/>
      <c r="E33" s="139"/>
      <c r="F33" s="74"/>
      <c r="G33" s="74"/>
      <c r="H33" s="74"/>
      <c r="I33" s="74"/>
      <c r="J33" s="58"/>
      <c r="K33" s="58"/>
    </row>
    <row r="34" spans="1:11" ht="16.5" thickTop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15.75" x14ac:dyDescent="0.25">
      <c r="A35" s="56" t="s">
        <v>117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ht="15.75" x14ac:dyDescent="0.25">
      <c r="A36" s="58" t="s">
        <v>287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5.75" x14ac:dyDescent="0.25">
      <c r="A37" s="58" t="s">
        <v>288</v>
      </c>
      <c r="B37" s="70"/>
      <c r="C37" s="58"/>
      <c r="D37" s="58"/>
      <c r="E37" s="75"/>
      <c r="F37" s="76"/>
      <c r="G37" s="76"/>
      <c r="H37" s="76"/>
      <c r="I37" s="58"/>
      <c r="J37" s="58"/>
      <c r="K37" s="58"/>
    </row>
    <row r="38" spans="1:11" ht="15.75" x14ac:dyDescent="0.25">
      <c r="A38" s="58" t="s">
        <v>289</v>
      </c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15.75" x14ac:dyDescent="0.25">
      <c r="A39" s="58" t="s">
        <v>290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ht="15.75" x14ac:dyDescent="0.25">
      <c r="A40" s="58" t="s">
        <v>291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5.75" x14ac:dyDescent="0.25">
      <c r="A41" s="58" t="s">
        <v>292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3" spans="1:11" x14ac:dyDescent="0.2">
      <c r="G43" s="140" t="s">
        <v>293</v>
      </c>
      <c r="H43" s="141"/>
    </row>
    <row r="44" spans="1:11" x14ac:dyDescent="0.2">
      <c r="G44" s="142"/>
      <c r="H44" s="143"/>
    </row>
  </sheetData>
  <sortState xmlns:xlrd2="http://schemas.microsoft.com/office/spreadsheetml/2017/richdata2" ref="B27:D32">
    <sortCondition ref="D27:D32"/>
  </sortState>
  <mergeCells count="16">
    <mergeCell ref="C33:E33"/>
    <mergeCell ref="G43:H44"/>
    <mergeCell ref="A8:I8"/>
    <mergeCell ref="A9:I9"/>
    <mergeCell ref="B21:D21"/>
    <mergeCell ref="B22:D22"/>
    <mergeCell ref="A24:I24"/>
    <mergeCell ref="A25:A26"/>
    <mergeCell ref="B25:B26"/>
    <mergeCell ref="H25:H26"/>
    <mergeCell ref="A7:I7"/>
    <mergeCell ref="A1:I1"/>
    <mergeCell ref="A2:I2"/>
    <mergeCell ref="A3:I3"/>
    <mergeCell ref="A4:I4"/>
    <mergeCell ref="A5:I5"/>
  </mergeCells>
  <pageMargins left="0.5" right="0.5" top="0.5" bottom="0.5" header="0.5" footer="0.5"/>
  <pageSetup paperSize="5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6562-0052-4357-9BE6-C61185BB31E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11</vt:i4>
      </vt:variant>
    </vt:vector>
  </HeadingPairs>
  <TitlesOfParts>
    <vt:vector size="37" baseType="lpstr">
      <vt:lpstr>PETUNJUK</vt:lpstr>
      <vt:lpstr>TUGAS (1)</vt:lpstr>
      <vt:lpstr>LEMBAR KERJA (1)</vt:lpstr>
      <vt:lpstr>KUNCI JAWABAN (1)</vt:lpstr>
      <vt:lpstr>TUGAS (2)</vt:lpstr>
      <vt:lpstr>LEMBAR KERJA (2)</vt:lpstr>
      <vt:lpstr>KUNCI JAWABAN (2)</vt:lpstr>
      <vt:lpstr>TUGAS (3)</vt:lpstr>
      <vt:lpstr>LEMBAR KERJA (3)</vt:lpstr>
      <vt:lpstr>JAWABAN (3) rumus vlookup</vt:lpstr>
      <vt:lpstr>JAWABAN (3) rumus if</vt:lpstr>
      <vt:lpstr>TUGAS (4)</vt:lpstr>
      <vt:lpstr>LEMBAR KERJA (4)</vt:lpstr>
      <vt:lpstr>JAWABAN (4)</vt:lpstr>
      <vt:lpstr>TUGAS (5)</vt:lpstr>
      <vt:lpstr>LEMBAR KERJA (5)</vt:lpstr>
      <vt:lpstr>JAWABAN (5)</vt:lpstr>
      <vt:lpstr>TUGAS (6)</vt:lpstr>
      <vt:lpstr>LEMBAR KERJA (6)</vt:lpstr>
      <vt:lpstr>JAWABAN (6)</vt:lpstr>
      <vt:lpstr>TUGAS (7)</vt:lpstr>
      <vt:lpstr>LEMBAR KERJA (7)</vt:lpstr>
      <vt:lpstr>JAWABAN (7)</vt:lpstr>
      <vt:lpstr>TUGAS (8)</vt:lpstr>
      <vt:lpstr>LEMBAR KERJA (8)</vt:lpstr>
      <vt:lpstr>JAWABAN (8)</vt:lpstr>
      <vt:lpstr>bus</vt:lpstr>
      <vt:lpstr>gapok</vt:lpstr>
      <vt:lpstr>jabatan</vt:lpstr>
      <vt:lpstr>kdkd</vt:lpstr>
      <vt:lpstr>kelamin</vt:lpstr>
      <vt:lpstr>kmr</vt:lpstr>
      <vt:lpstr>kode</vt:lpstr>
      <vt:lpstr>mb</vt:lpstr>
      <vt:lpstr>mbl</vt:lpstr>
      <vt:lpstr>status</vt:lpstr>
      <vt:lpstr>tarif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Wiji Hatmoko</dc:creator>
  <cp:lastModifiedBy>Mega Novia</cp:lastModifiedBy>
  <dcterms:created xsi:type="dcterms:W3CDTF">2018-02-11T15:46:15Z</dcterms:created>
  <dcterms:modified xsi:type="dcterms:W3CDTF">2023-12-09T11:51:43Z</dcterms:modified>
</cp:coreProperties>
</file>